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00" activeTab="0"/>
  </bookViews>
  <sheets>
    <sheet name="01-20" sheetId="1" r:id="rId1"/>
    <sheet name="21-40" sheetId="2" r:id="rId2"/>
    <sheet name="41-60" sheetId="3" r:id="rId3"/>
    <sheet name="61-80" sheetId="4" r:id="rId4"/>
    <sheet name="81-100" sheetId="5" r:id="rId5"/>
  </sheets>
  <definedNames/>
  <calcPr fullCalcOnLoad="1"/>
</workbook>
</file>

<file path=xl/sharedStrings.xml><?xml version="1.0" encoding="utf-8"?>
<sst xmlns="http://schemas.openxmlformats.org/spreadsheetml/2006/main" count="121" uniqueCount="109">
  <si>
    <t>1.)</t>
  </si>
  <si>
    <t>2.)</t>
  </si>
  <si>
    <t>3.)</t>
  </si>
  <si>
    <t>4.)</t>
  </si>
  <si>
    <t>5.)</t>
  </si>
  <si>
    <t>6.)</t>
  </si>
  <si>
    <t>7.)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</si>
  <si>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</si>
  <si>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</si>
  <si>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</si>
  <si>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</si>
  <si>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</si>
  <si>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</si>
  <si>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</si>
  <si>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</si>
  <si>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</si>
  <si>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</si>
  <si>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</si>
  <si>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</si>
  <si>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</si>
  <si>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21.)</t>
  </si>
  <si>
    <t>22.)</t>
  </si>
  <si>
    <t>23.)</t>
  </si>
  <si>
    <t>24.)</t>
  </si>
  <si>
    <t>25.)</t>
  </si>
  <si>
    <t>26.)</t>
  </si>
  <si>
    <t>27.)</t>
  </si>
  <si>
    <t>28.)</t>
  </si>
  <si>
    <t>29.)</t>
  </si>
  <si>
    <t>30.)</t>
  </si>
  <si>
    <t>31.)</t>
  </si>
  <si>
    <t>32.)</t>
  </si>
  <si>
    <t>33.)</t>
  </si>
  <si>
    <t>34.)</t>
  </si>
  <si>
    <t>35.)</t>
  </si>
  <si>
    <t>36.)</t>
  </si>
  <si>
    <t>37.)</t>
  </si>
  <si>
    <t>38.)</t>
  </si>
  <si>
    <t>39.)</t>
  </si>
  <si>
    <t>40.)</t>
  </si>
  <si>
    <t>41.)</t>
  </si>
  <si>
    <t>42.)</t>
  </si>
  <si>
    <t>43.)</t>
  </si>
  <si>
    <t>44.)</t>
  </si>
  <si>
    <t>45.)</t>
  </si>
  <si>
    <t>46.)</t>
  </si>
  <si>
    <t>47.)</t>
  </si>
  <si>
    <t>48.)</t>
  </si>
  <si>
    <t>49.)</t>
  </si>
  <si>
    <t>50.)</t>
  </si>
  <si>
    <t>ü</t>
  </si>
  <si>
    <t>01-20:</t>
  </si>
  <si>
    <t>Total:</t>
  </si>
  <si>
    <t>21-40:</t>
  </si>
  <si>
    <t>41-60:</t>
  </si>
  <si>
    <t>51.)</t>
  </si>
  <si>
    <t>52.)</t>
  </si>
  <si>
    <t>53.)</t>
  </si>
  <si>
    <t>54.)</t>
  </si>
  <si>
    <t>55.)</t>
  </si>
  <si>
    <t>56.)</t>
  </si>
  <si>
    <t>57.)</t>
  </si>
  <si>
    <t>58.)</t>
  </si>
  <si>
    <t>59.)</t>
  </si>
  <si>
    <t>60.)</t>
  </si>
  <si>
    <t>61-80:</t>
  </si>
  <si>
    <t>61.)</t>
  </si>
  <si>
    <t>62.)</t>
  </si>
  <si>
    <t>63.)</t>
  </si>
  <si>
    <t>64.)</t>
  </si>
  <si>
    <t>65.)</t>
  </si>
  <si>
    <t>66.)</t>
  </si>
  <si>
    <t>67.)</t>
  </si>
  <si>
    <t>68.)</t>
  </si>
  <si>
    <t>69.)</t>
  </si>
  <si>
    <t>70.)</t>
  </si>
  <si>
    <t>71.)</t>
  </si>
  <si>
    <t>72.)</t>
  </si>
  <si>
    <t>73.)</t>
  </si>
  <si>
    <t>74.)</t>
  </si>
  <si>
    <t>75.)</t>
  </si>
  <si>
    <t>76.)</t>
  </si>
  <si>
    <t>77.)</t>
  </si>
  <si>
    <t>78.)</t>
  </si>
  <si>
    <t>79.)</t>
  </si>
  <si>
    <t>80.)</t>
  </si>
  <si>
    <t>81-100:</t>
  </si>
  <si>
    <t>81.)</t>
  </si>
  <si>
    <t>82.)</t>
  </si>
  <si>
    <t>83.)</t>
  </si>
  <si>
    <t>84.)</t>
  </si>
  <si>
    <t>85.)</t>
  </si>
  <si>
    <t>86.)</t>
  </si>
  <si>
    <t>87.)</t>
  </si>
  <si>
    <t>88.)</t>
  </si>
  <si>
    <t>89.)</t>
  </si>
  <si>
    <t>90.)</t>
  </si>
  <si>
    <t>91.)</t>
  </si>
  <si>
    <t>92.)</t>
  </si>
  <si>
    <t>93.)</t>
  </si>
  <si>
    <t>94.)</t>
  </si>
  <si>
    <t>95.)</t>
  </si>
  <si>
    <t>96.)</t>
  </si>
  <si>
    <t>97.)</t>
  </si>
  <si>
    <t>98.)</t>
  </si>
  <si>
    <t>99.)</t>
  </si>
  <si>
    <t>100.)</t>
  </si>
  <si>
    <t>MadebyJeni</t>
  </si>
  <si>
    <t>HÍRÖS MAGYAROK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</si>
</sst>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name val="Palatino Linotype"/>
      <family val="0"/>
    </font>
    <font>
      <b/>
      <sz val="10"/>
      <color indexed="18"/>
      <name val="Arial"/>
      <family val="2"/>
    </font>
    <font>
      <sz val="20"/>
      <name val="Wingdings"/>
      <family val="0"/>
    </font>
    <font>
      <sz val="20"/>
      <color indexed="10"/>
      <name val="Wingdings"/>
      <family val="0"/>
    </font>
    <font>
      <sz val="20"/>
      <color indexed="17"/>
      <name val="Wingdings"/>
      <family val="0"/>
    </font>
    <font>
      <b/>
      <sz val="8"/>
      <color indexed="18"/>
      <name val="Arial"/>
      <family val="2"/>
    </font>
    <font>
      <b/>
      <sz val="24"/>
      <color indexed="18"/>
      <name val="Arial"/>
      <family val="2"/>
    </font>
    <font>
      <b/>
      <sz val="8"/>
      <color indexed="18"/>
      <name val="Wingdings"/>
      <family val="0"/>
    </font>
    <font>
      <sz val="11"/>
      <color indexed="18"/>
      <name val="Palatino Linotype"/>
      <family val="0"/>
    </font>
    <font>
      <sz val="11"/>
      <color indexed="18"/>
      <name val="Wingdings"/>
      <family val="0"/>
    </font>
    <font>
      <b/>
      <sz val="20"/>
      <name val="Wingdings"/>
      <family val="0"/>
    </font>
    <font>
      <b/>
      <sz val="16"/>
      <name val="Wingdings"/>
      <family val="0"/>
    </font>
    <font>
      <b/>
      <sz val="20"/>
      <color indexed="18"/>
      <name val="Arial"/>
      <family val="2"/>
    </font>
    <font>
      <b/>
      <sz val="18"/>
      <color indexed="18"/>
      <name val="Arial"/>
      <family val="2"/>
    </font>
    <font>
      <b/>
      <sz val="9"/>
      <color indexed="9"/>
      <name val="Arial CE"/>
      <family val="2"/>
    </font>
    <font>
      <sz val="8"/>
      <name val="Palatino Linotype"/>
      <family val="0"/>
    </font>
    <font>
      <sz val="11"/>
      <color indexed="18"/>
      <name val="Arial"/>
      <family val="2"/>
    </font>
    <font>
      <b/>
      <i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1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6" fillId="2" borderId="1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9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00.jpeg" /><Relationship Id="rId17" Type="http://schemas.openxmlformats.org/officeDocument/2006/relationships/image" Target="../media/image15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9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26.jpeg" /><Relationship Id="rId9" Type="http://schemas.openxmlformats.org/officeDocument/2006/relationships/image" Target="../media/image27.jpeg" /><Relationship Id="rId10" Type="http://schemas.openxmlformats.org/officeDocument/2006/relationships/image" Target="../media/image28.jpeg" /><Relationship Id="rId11" Type="http://schemas.openxmlformats.org/officeDocument/2006/relationships/image" Target="../media/image30.jpeg" /><Relationship Id="rId12" Type="http://schemas.openxmlformats.org/officeDocument/2006/relationships/image" Target="../media/image31.jpeg" /><Relationship Id="rId13" Type="http://schemas.openxmlformats.org/officeDocument/2006/relationships/image" Target="../media/image29.jpeg" /><Relationship Id="rId14" Type="http://schemas.openxmlformats.org/officeDocument/2006/relationships/image" Target="../media/image32.jpeg" /><Relationship Id="rId15" Type="http://schemas.openxmlformats.org/officeDocument/2006/relationships/image" Target="../media/image33.jpeg" /><Relationship Id="rId16" Type="http://schemas.openxmlformats.org/officeDocument/2006/relationships/image" Target="../media/image34.jpeg" /><Relationship Id="rId17" Type="http://schemas.openxmlformats.org/officeDocument/2006/relationships/image" Target="../media/image35.jpeg" /><Relationship Id="rId18" Type="http://schemas.openxmlformats.org/officeDocument/2006/relationships/image" Target="../media/image36.jpeg" /><Relationship Id="rId19" Type="http://schemas.openxmlformats.org/officeDocument/2006/relationships/image" Target="../media/image37.jpeg" /><Relationship Id="rId20" Type="http://schemas.openxmlformats.org/officeDocument/2006/relationships/image" Target="../media/image3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Relationship Id="rId3" Type="http://schemas.openxmlformats.org/officeDocument/2006/relationships/image" Target="../media/image43.jpeg" /><Relationship Id="rId4" Type="http://schemas.openxmlformats.org/officeDocument/2006/relationships/image" Target="../media/image41.jpeg" /><Relationship Id="rId5" Type="http://schemas.openxmlformats.org/officeDocument/2006/relationships/image" Target="../media/image44.jpeg" /><Relationship Id="rId6" Type="http://schemas.openxmlformats.org/officeDocument/2006/relationships/image" Target="../media/image45.jpeg" /><Relationship Id="rId7" Type="http://schemas.openxmlformats.org/officeDocument/2006/relationships/image" Target="../media/image42.jpeg" /><Relationship Id="rId8" Type="http://schemas.openxmlformats.org/officeDocument/2006/relationships/image" Target="../media/image46.jpeg" /><Relationship Id="rId9" Type="http://schemas.openxmlformats.org/officeDocument/2006/relationships/image" Target="../media/image47.jpeg" /><Relationship Id="rId10" Type="http://schemas.openxmlformats.org/officeDocument/2006/relationships/image" Target="../media/image48.jpeg" /><Relationship Id="rId11" Type="http://schemas.openxmlformats.org/officeDocument/2006/relationships/image" Target="../media/image49.jpeg" /><Relationship Id="rId12" Type="http://schemas.openxmlformats.org/officeDocument/2006/relationships/image" Target="../media/image50.jpeg" /><Relationship Id="rId13" Type="http://schemas.openxmlformats.org/officeDocument/2006/relationships/image" Target="../media/image51.jpeg" /><Relationship Id="rId14" Type="http://schemas.openxmlformats.org/officeDocument/2006/relationships/image" Target="../media/image52.jpeg" /><Relationship Id="rId15" Type="http://schemas.openxmlformats.org/officeDocument/2006/relationships/image" Target="../media/image53.jpeg" /><Relationship Id="rId16" Type="http://schemas.openxmlformats.org/officeDocument/2006/relationships/image" Target="../media/image54.jpeg" /><Relationship Id="rId17" Type="http://schemas.openxmlformats.org/officeDocument/2006/relationships/image" Target="../media/image55.jpeg" /><Relationship Id="rId18" Type="http://schemas.openxmlformats.org/officeDocument/2006/relationships/image" Target="../media/image56.jpeg" /><Relationship Id="rId19" Type="http://schemas.openxmlformats.org/officeDocument/2006/relationships/image" Target="../media/image57.jpeg" /><Relationship Id="rId20" Type="http://schemas.openxmlformats.org/officeDocument/2006/relationships/image" Target="../media/image5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Relationship Id="rId3" Type="http://schemas.openxmlformats.org/officeDocument/2006/relationships/image" Target="../media/image62.jpeg" /><Relationship Id="rId4" Type="http://schemas.openxmlformats.org/officeDocument/2006/relationships/image" Target="../media/image61.jpeg" /><Relationship Id="rId5" Type="http://schemas.openxmlformats.org/officeDocument/2006/relationships/image" Target="../media/image63.jpeg" /><Relationship Id="rId6" Type="http://schemas.openxmlformats.org/officeDocument/2006/relationships/image" Target="../media/image64.jpeg" /><Relationship Id="rId7" Type="http://schemas.openxmlformats.org/officeDocument/2006/relationships/image" Target="../media/image65.jpeg" /><Relationship Id="rId8" Type="http://schemas.openxmlformats.org/officeDocument/2006/relationships/image" Target="../media/image66.jpeg" /><Relationship Id="rId9" Type="http://schemas.openxmlformats.org/officeDocument/2006/relationships/image" Target="../media/image16.jpeg" /><Relationship Id="rId10" Type="http://schemas.openxmlformats.org/officeDocument/2006/relationships/image" Target="../media/image67.jpeg" /><Relationship Id="rId11" Type="http://schemas.openxmlformats.org/officeDocument/2006/relationships/image" Target="../media/image69.jpeg" /><Relationship Id="rId12" Type="http://schemas.openxmlformats.org/officeDocument/2006/relationships/image" Target="../media/image70.jpeg" /><Relationship Id="rId13" Type="http://schemas.openxmlformats.org/officeDocument/2006/relationships/image" Target="../media/image71.jpeg" /><Relationship Id="rId14" Type="http://schemas.openxmlformats.org/officeDocument/2006/relationships/image" Target="../media/image72.jpeg" /><Relationship Id="rId15" Type="http://schemas.openxmlformats.org/officeDocument/2006/relationships/image" Target="../media/image73.jpeg" /><Relationship Id="rId16" Type="http://schemas.openxmlformats.org/officeDocument/2006/relationships/image" Target="../media/image74.jpeg" /><Relationship Id="rId17" Type="http://schemas.openxmlformats.org/officeDocument/2006/relationships/image" Target="../media/image75.jpeg" /><Relationship Id="rId18" Type="http://schemas.openxmlformats.org/officeDocument/2006/relationships/image" Target="../media/image76.jpeg" /><Relationship Id="rId19" Type="http://schemas.openxmlformats.org/officeDocument/2006/relationships/image" Target="../media/image77.jpeg" /><Relationship Id="rId20" Type="http://schemas.openxmlformats.org/officeDocument/2006/relationships/image" Target="../media/image7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Relationship Id="rId3" Type="http://schemas.openxmlformats.org/officeDocument/2006/relationships/image" Target="../media/image81.jpeg" /><Relationship Id="rId4" Type="http://schemas.openxmlformats.org/officeDocument/2006/relationships/image" Target="../media/image82.jpeg" /><Relationship Id="rId5" Type="http://schemas.openxmlformats.org/officeDocument/2006/relationships/image" Target="../media/image83.jpeg" /><Relationship Id="rId6" Type="http://schemas.openxmlformats.org/officeDocument/2006/relationships/image" Target="../media/image84.jpeg" /><Relationship Id="rId7" Type="http://schemas.openxmlformats.org/officeDocument/2006/relationships/image" Target="../media/image85.jpeg" /><Relationship Id="rId8" Type="http://schemas.openxmlformats.org/officeDocument/2006/relationships/image" Target="../media/image86.jpeg" /><Relationship Id="rId9" Type="http://schemas.openxmlformats.org/officeDocument/2006/relationships/image" Target="../media/image88.jpeg" /><Relationship Id="rId10" Type="http://schemas.openxmlformats.org/officeDocument/2006/relationships/image" Target="../media/image90.jpeg" /><Relationship Id="rId11" Type="http://schemas.openxmlformats.org/officeDocument/2006/relationships/image" Target="../media/image68.jpeg" /><Relationship Id="rId12" Type="http://schemas.openxmlformats.org/officeDocument/2006/relationships/image" Target="../media/image87.jpeg" /><Relationship Id="rId13" Type="http://schemas.openxmlformats.org/officeDocument/2006/relationships/image" Target="../media/image91.jpeg" /><Relationship Id="rId14" Type="http://schemas.openxmlformats.org/officeDocument/2006/relationships/image" Target="../media/image92.jpeg" /><Relationship Id="rId15" Type="http://schemas.openxmlformats.org/officeDocument/2006/relationships/image" Target="../media/image93.jpeg" /><Relationship Id="rId16" Type="http://schemas.openxmlformats.org/officeDocument/2006/relationships/image" Target="../media/image94.jpeg" /><Relationship Id="rId17" Type="http://schemas.openxmlformats.org/officeDocument/2006/relationships/image" Target="../media/image95.jpeg" /><Relationship Id="rId18" Type="http://schemas.openxmlformats.org/officeDocument/2006/relationships/image" Target="../media/image96.jpeg" /><Relationship Id="rId19" Type="http://schemas.openxmlformats.org/officeDocument/2006/relationships/image" Target="../media/image97.jpeg" /><Relationship Id="rId20" Type="http://schemas.openxmlformats.org/officeDocument/2006/relationships/image" Target="../media/image9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123825</xdr:rowOff>
    </xdr:from>
    <xdr:to>
      <xdr:col>3</xdr:col>
      <xdr:colOff>114300</xdr:colOff>
      <xdr:row>7</xdr:row>
      <xdr:rowOff>76200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52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114300</xdr:rowOff>
    </xdr:from>
    <xdr:to>
      <xdr:col>8</xdr:col>
      <xdr:colOff>771525</xdr:colOff>
      <xdr:row>7</xdr:row>
      <xdr:rowOff>66675</xdr:rowOff>
    </xdr:to>
    <xdr:pic>
      <xdr:nvPicPr>
        <xdr:cNvPr id="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429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133350</xdr:rowOff>
    </xdr:from>
    <xdr:to>
      <xdr:col>13</xdr:col>
      <xdr:colOff>762000</xdr:colOff>
      <xdr:row>7</xdr:row>
      <xdr:rowOff>85725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762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142875</xdr:rowOff>
    </xdr:from>
    <xdr:to>
      <xdr:col>18</xdr:col>
      <xdr:colOff>733425</xdr:colOff>
      <xdr:row>7</xdr:row>
      <xdr:rowOff>85725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7715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161925</xdr:rowOff>
    </xdr:from>
    <xdr:to>
      <xdr:col>3</xdr:col>
      <xdr:colOff>114300</xdr:colOff>
      <xdr:row>11</xdr:row>
      <xdr:rowOff>114300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790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142875</xdr:rowOff>
    </xdr:from>
    <xdr:to>
      <xdr:col>8</xdr:col>
      <xdr:colOff>781050</xdr:colOff>
      <xdr:row>11</xdr:row>
      <xdr:rowOff>95250</xdr:rowOff>
    </xdr:to>
    <xdr:pic>
      <xdr:nvPicPr>
        <xdr:cNvPr id="6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1771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152400</xdr:rowOff>
    </xdr:from>
    <xdr:to>
      <xdr:col>13</xdr:col>
      <xdr:colOff>771525</xdr:colOff>
      <xdr:row>11</xdr:row>
      <xdr:rowOff>104775</xdr:rowOff>
    </xdr:to>
    <xdr:pic>
      <xdr:nvPicPr>
        <xdr:cNvPr id="7" name="Picture 1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17811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142875</xdr:rowOff>
    </xdr:from>
    <xdr:to>
      <xdr:col>18</xdr:col>
      <xdr:colOff>762000</xdr:colOff>
      <xdr:row>11</xdr:row>
      <xdr:rowOff>95250</xdr:rowOff>
    </xdr:to>
    <xdr:pic>
      <xdr:nvPicPr>
        <xdr:cNvPr id="8" name="Picture 1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0" y="1771650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171450</xdr:rowOff>
    </xdr:from>
    <xdr:to>
      <xdr:col>3</xdr:col>
      <xdr:colOff>114300</xdr:colOff>
      <xdr:row>15</xdr:row>
      <xdr:rowOff>123825</xdr:rowOff>
    </xdr:to>
    <xdr:pic>
      <xdr:nvPicPr>
        <xdr:cNvPr id="9" name="Picture 1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800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161925</xdr:rowOff>
    </xdr:from>
    <xdr:to>
      <xdr:col>8</xdr:col>
      <xdr:colOff>790575</xdr:colOff>
      <xdr:row>15</xdr:row>
      <xdr:rowOff>114300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11</xdr:row>
      <xdr:rowOff>161925</xdr:rowOff>
    </xdr:from>
    <xdr:to>
      <xdr:col>13</xdr:col>
      <xdr:colOff>781050</xdr:colOff>
      <xdr:row>15</xdr:row>
      <xdr:rowOff>114300</xdr:rowOff>
    </xdr:to>
    <xdr:pic>
      <xdr:nvPicPr>
        <xdr:cNvPr id="11" name="Picture 1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0125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152400</xdr:rowOff>
    </xdr:from>
    <xdr:to>
      <xdr:col>18</xdr:col>
      <xdr:colOff>781050</xdr:colOff>
      <xdr:row>15</xdr:row>
      <xdr:rowOff>104775</xdr:rowOff>
    </xdr:to>
    <xdr:pic>
      <xdr:nvPicPr>
        <xdr:cNvPr id="12" name="Picture 1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38975" y="27813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180975</xdr:rowOff>
    </xdr:from>
    <xdr:to>
      <xdr:col>3</xdr:col>
      <xdr:colOff>104775</xdr:colOff>
      <xdr:row>19</xdr:row>
      <xdr:rowOff>133350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3810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</xdr:row>
      <xdr:rowOff>180975</xdr:rowOff>
    </xdr:from>
    <xdr:to>
      <xdr:col>8</xdr:col>
      <xdr:colOff>790575</xdr:colOff>
      <xdr:row>19</xdr:row>
      <xdr:rowOff>133350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3810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15</xdr:row>
      <xdr:rowOff>171450</xdr:rowOff>
    </xdr:from>
    <xdr:to>
      <xdr:col>13</xdr:col>
      <xdr:colOff>781050</xdr:colOff>
      <xdr:row>19</xdr:row>
      <xdr:rowOff>104775</xdr:rowOff>
    </xdr:to>
    <xdr:pic>
      <xdr:nvPicPr>
        <xdr:cNvPr id="15" name="Picture 1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10125" y="3800475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171450</xdr:rowOff>
    </xdr:from>
    <xdr:to>
      <xdr:col>18</xdr:col>
      <xdr:colOff>790575</xdr:colOff>
      <xdr:row>19</xdr:row>
      <xdr:rowOff>123825</xdr:rowOff>
    </xdr:to>
    <xdr:pic>
      <xdr:nvPicPr>
        <xdr:cNvPr id="16" name="Picture 1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48500" y="3800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190500</xdr:rowOff>
    </xdr:from>
    <xdr:to>
      <xdr:col>3</xdr:col>
      <xdr:colOff>104775</xdr:colOff>
      <xdr:row>22</xdr:row>
      <xdr:rowOff>266700</xdr:rowOff>
    </xdr:to>
    <xdr:pic>
      <xdr:nvPicPr>
        <xdr:cNvPr id="17" name="Picture 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4819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19</xdr:row>
      <xdr:rowOff>200025</xdr:rowOff>
    </xdr:from>
    <xdr:to>
      <xdr:col>8</xdr:col>
      <xdr:colOff>790575</xdr:colOff>
      <xdr:row>22</xdr:row>
      <xdr:rowOff>276225</xdr:rowOff>
    </xdr:to>
    <xdr:pic>
      <xdr:nvPicPr>
        <xdr:cNvPr id="18" name="Picture 1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0" y="48291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171450</xdr:rowOff>
    </xdr:from>
    <xdr:to>
      <xdr:col>13</xdr:col>
      <xdr:colOff>790575</xdr:colOff>
      <xdr:row>22</xdr:row>
      <xdr:rowOff>238125</xdr:rowOff>
    </xdr:to>
    <xdr:pic>
      <xdr:nvPicPr>
        <xdr:cNvPr id="19" name="Picture 14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19650" y="4800600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19</xdr:row>
      <xdr:rowOff>180975</xdr:rowOff>
    </xdr:from>
    <xdr:to>
      <xdr:col>18</xdr:col>
      <xdr:colOff>809625</xdr:colOff>
      <xdr:row>22</xdr:row>
      <xdr:rowOff>257175</xdr:rowOff>
    </xdr:to>
    <xdr:pic>
      <xdr:nvPicPr>
        <xdr:cNvPr id="20" name="Picture 1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67550" y="48101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142875</xdr:rowOff>
    </xdr:from>
    <xdr:to>
      <xdr:col>3</xdr:col>
      <xdr:colOff>104775</xdr:colOff>
      <xdr:row>7</xdr:row>
      <xdr:rowOff>95250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71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</xdr:row>
      <xdr:rowOff>133350</xdr:rowOff>
    </xdr:from>
    <xdr:to>
      <xdr:col>8</xdr:col>
      <xdr:colOff>771525</xdr:colOff>
      <xdr:row>7</xdr:row>
      <xdr:rowOff>85725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762000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</xdr:row>
      <xdr:rowOff>123825</xdr:rowOff>
    </xdr:from>
    <xdr:to>
      <xdr:col>13</xdr:col>
      <xdr:colOff>781050</xdr:colOff>
      <xdr:row>7</xdr:row>
      <xdr:rowOff>76200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752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133350</xdr:rowOff>
    </xdr:from>
    <xdr:to>
      <xdr:col>18</xdr:col>
      <xdr:colOff>771525</xdr:colOff>
      <xdr:row>7</xdr:row>
      <xdr:rowOff>85725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762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161925</xdr:rowOff>
    </xdr:from>
    <xdr:to>
      <xdr:col>3</xdr:col>
      <xdr:colOff>104775</xdr:colOff>
      <xdr:row>11</xdr:row>
      <xdr:rowOff>114300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90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7</xdr:row>
      <xdr:rowOff>152400</xdr:rowOff>
    </xdr:from>
    <xdr:to>
      <xdr:col>8</xdr:col>
      <xdr:colOff>762000</xdr:colOff>
      <xdr:row>11</xdr:row>
      <xdr:rowOff>57150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781175"/>
          <a:ext cx="733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</xdr:row>
      <xdr:rowOff>152400</xdr:rowOff>
    </xdr:from>
    <xdr:to>
      <xdr:col>13</xdr:col>
      <xdr:colOff>771525</xdr:colOff>
      <xdr:row>11</xdr:row>
      <xdr:rowOff>95250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17811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7</xdr:row>
      <xdr:rowOff>171450</xdr:rowOff>
    </xdr:from>
    <xdr:to>
      <xdr:col>18</xdr:col>
      <xdr:colOff>781050</xdr:colOff>
      <xdr:row>11</xdr:row>
      <xdr:rowOff>123825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19925" y="18002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171450</xdr:rowOff>
    </xdr:from>
    <xdr:to>
      <xdr:col>3</xdr:col>
      <xdr:colOff>104775</xdr:colOff>
      <xdr:row>15</xdr:row>
      <xdr:rowOff>123825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2800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11</xdr:row>
      <xdr:rowOff>161925</xdr:rowOff>
    </xdr:from>
    <xdr:to>
      <xdr:col>8</xdr:col>
      <xdr:colOff>781050</xdr:colOff>
      <xdr:row>15</xdr:row>
      <xdr:rowOff>114300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11</xdr:row>
      <xdr:rowOff>161925</xdr:rowOff>
    </xdr:from>
    <xdr:to>
      <xdr:col>13</xdr:col>
      <xdr:colOff>781050</xdr:colOff>
      <xdr:row>15</xdr:row>
      <xdr:rowOff>114300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81550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180975</xdr:rowOff>
    </xdr:from>
    <xdr:to>
      <xdr:col>18</xdr:col>
      <xdr:colOff>781050</xdr:colOff>
      <xdr:row>15</xdr:row>
      <xdr:rowOff>133350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9925" y="28098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180975</xdr:rowOff>
    </xdr:from>
    <xdr:to>
      <xdr:col>3</xdr:col>
      <xdr:colOff>85725</xdr:colOff>
      <xdr:row>19</xdr:row>
      <xdr:rowOff>95250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3810000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171450</xdr:rowOff>
    </xdr:from>
    <xdr:to>
      <xdr:col>8</xdr:col>
      <xdr:colOff>781050</xdr:colOff>
      <xdr:row>19</xdr:row>
      <xdr:rowOff>123825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62225" y="3800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15</xdr:row>
      <xdr:rowOff>171450</xdr:rowOff>
    </xdr:from>
    <xdr:to>
      <xdr:col>13</xdr:col>
      <xdr:colOff>771525</xdr:colOff>
      <xdr:row>19</xdr:row>
      <xdr:rowOff>85725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00600" y="3800475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190500</xdr:rowOff>
    </xdr:from>
    <xdr:to>
      <xdr:col>18</xdr:col>
      <xdr:colOff>771525</xdr:colOff>
      <xdr:row>19</xdr:row>
      <xdr:rowOff>104775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29450" y="3819525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161925</xdr:rowOff>
    </xdr:from>
    <xdr:to>
      <xdr:col>3</xdr:col>
      <xdr:colOff>95250</xdr:colOff>
      <xdr:row>22</xdr:row>
      <xdr:rowOff>238125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4325" y="47910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190500</xdr:rowOff>
    </xdr:from>
    <xdr:to>
      <xdr:col>8</xdr:col>
      <xdr:colOff>781050</xdr:colOff>
      <xdr:row>22</xdr:row>
      <xdr:rowOff>266700</xdr:rowOff>
    </xdr:to>
    <xdr:pic>
      <xdr:nvPicPr>
        <xdr:cNvPr id="18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48196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152400</xdr:rowOff>
    </xdr:from>
    <xdr:to>
      <xdr:col>13</xdr:col>
      <xdr:colOff>790575</xdr:colOff>
      <xdr:row>22</xdr:row>
      <xdr:rowOff>228600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91075" y="47815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19</xdr:row>
      <xdr:rowOff>161925</xdr:rowOff>
    </xdr:from>
    <xdr:to>
      <xdr:col>18</xdr:col>
      <xdr:colOff>781050</xdr:colOff>
      <xdr:row>22</xdr:row>
      <xdr:rowOff>238125</xdr:rowOff>
    </xdr:to>
    <xdr:pic>
      <xdr:nvPicPr>
        <xdr:cNvPr id="20" name="Picture 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19925" y="47910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142875</xdr:rowOff>
    </xdr:from>
    <xdr:to>
      <xdr:col>3</xdr:col>
      <xdr:colOff>104775</xdr:colOff>
      <xdr:row>7</xdr:row>
      <xdr:rowOff>95250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71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161925</xdr:rowOff>
    </xdr:from>
    <xdr:to>
      <xdr:col>8</xdr:col>
      <xdr:colOff>781050</xdr:colOff>
      <xdr:row>7</xdr:row>
      <xdr:rowOff>114300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905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180975</xdr:rowOff>
    </xdr:from>
    <xdr:to>
      <xdr:col>13</xdr:col>
      <xdr:colOff>771525</xdr:colOff>
      <xdr:row>7</xdr:row>
      <xdr:rowOff>133350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8096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</xdr:row>
      <xdr:rowOff>161925</xdr:rowOff>
    </xdr:from>
    <xdr:to>
      <xdr:col>18</xdr:col>
      <xdr:colOff>790575</xdr:colOff>
      <xdr:row>7</xdr:row>
      <xdr:rowOff>114300</xdr:rowOff>
    </xdr:to>
    <xdr:pic>
      <xdr:nvPicPr>
        <xdr:cNvPr id="4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7905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161925</xdr:rowOff>
    </xdr:from>
    <xdr:to>
      <xdr:col>3</xdr:col>
      <xdr:colOff>85725</xdr:colOff>
      <xdr:row>11</xdr:row>
      <xdr:rowOff>76200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790700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180975</xdr:rowOff>
    </xdr:from>
    <xdr:to>
      <xdr:col>8</xdr:col>
      <xdr:colOff>781050</xdr:colOff>
      <xdr:row>11</xdr:row>
      <xdr:rowOff>133350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1809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190500</xdr:rowOff>
    </xdr:from>
    <xdr:to>
      <xdr:col>13</xdr:col>
      <xdr:colOff>771525</xdr:colOff>
      <xdr:row>11</xdr:row>
      <xdr:rowOff>142875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18192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7</xdr:row>
      <xdr:rowOff>180975</xdr:rowOff>
    </xdr:from>
    <xdr:to>
      <xdr:col>18</xdr:col>
      <xdr:colOff>800100</xdr:colOff>
      <xdr:row>11</xdr:row>
      <xdr:rowOff>133350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29450" y="1809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161925</xdr:rowOff>
    </xdr:from>
    <xdr:to>
      <xdr:col>3</xdr:col>
      <xdr:colOff>104775</xdr:colOff>
      <xdr:row>15</xdr:row>
      <xdr:rowOff>114300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11</xdr:row>
      <xdr:rowOff>180975</xdr:rowOff>
    </xdr:from>
    <xdr:to>
      <xdr:col>8</xdr:col>
      <xdr:colOff>781050</xdr:colOff>
      <xdr:row>15</xdr:row>
      <xdr:rowOff>133350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28098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11</xdr:row>
      <xdr:rowOff>190500</xdr:rowOff>
    </xdr:from>
    <xdr:to>
      <xdr:col>13</xdr:col>
      <xdr:colOff>781050</xdr:colOff>
      <xdr:row>15</xdr:row>
      <xdr:rowOff>142875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91075" y="2819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11</xdr:row>
      <xdr:rowOff>190500</xdr:rowOff>
    </xdr:from>
    <xdr:to>
      <xdr:col>18</xdr:col>
      <xdr:colOff>800100</xdr:colOff>
      <xdr:row>15</xdr:row>
      <xdr:rowOff>142875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29450" y="2819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171450</xdr:rowOff>
    </xdr:from>
    <xdr:to>
      <xdr:col>3</xdr:col>
      <xdr:colOff>104775</xdr:colOff>
      <xdr:row>19</xdr:row>
      <xdr:rowOff>123825</xdr:rowOff>
    </xdr:to>
    <xdr:pic>
      <xdr:nvPicPr>
        <xdr:cNvPr id="13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3800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15</xdr:row>
      <xdr:rowOff>180975</xdr:rowOff>
    </xdr:from>
    <xdr:to>
      <xdr:col>8</xdr:col>
      <xdr:colOff>781050</xdr:colOff>
      <xdr:row>19</xdr:row>
      <xdr:rowOff>133350</xdr:rowOff>
    </xdr:to>
    <xdr:pic>
      <xdr:nvPicPr>
        <xdr:cNvPr id="14" name="Picture 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62225" y="3810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15</xdr:row>
      <xdr:rowOff>190500</xdr:rowOff>
    </xdr:from>
    <xdr:to>
      <xdr:col>13</xdr:col>
      <xdr:colOff>781050</xdr:colOff>
      <xdr:row>19</xdr:row>
      <xdr:rowOff>142875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91075" y="3819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15</xdr:row>
      <xdr:rowOff>180975</xdr:rowOff>
    </xdr:from>
    <xdr:to>
      <xdr:col>18</xdr:col>
      <xdr:colOff>800100</xdr:colOff>
      <xdr:row>19</xdr:row>
      <xdr:rowOff>133350</xdr:rowOff>
    </xdr:to>
    <xdr:pic>
      <xdr:nvPicPr>
        <xdr:cNvPr id="16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29450" y="3810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171450</xdr:rowOff>
    </xdr:from>
    <xdr:to>
      <xdr:col>3</xdr:col>
      <xdr:colOff>104775</xdr:colOff>
      <xdr:row>22</xdr:row>
      <xdr:rowOff>228600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4800600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180975</xdr:rowOff>
    </xdr:from>
    <xdr:to>
      <xdr:col>8</xdr:col>
      <xdr:colOff>781050</xdr:colOff>
      <xdr:row>22</xdr:row>
      <xdr:rowOff>257175</xdr:rowOff>
    </xdr:to>
    <xdr:pic>
      <xdr:nvPicPr>
        <xdr:cNvPr id="18" name="Picture 6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48101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19</xdr:row>
      <xdr:rowOff>200025</xdr:rowOff>
    </xdr:from>
    <xdr:to>
      <xdr:col>13</xdr:col>
      <xdr:colOff>781050</xdr:colOff>
      <xdr:row>22</xdr:row>
      <xdr:rowOff>276225</xdr:rowOff>
    </xdr:to>
    <xdr:pic>
      <xdr:nvPicPr>
        <xdr:cNvPr id="19" name="Picture 6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91075" y="48291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19</xdr:row>
      <xdr:rowOff>180975</xdr:rowOff>
    </xdr:from>
    <xdr:to>
      <xdr:col>18</xdr:col>
      <xdr:colOff>800100</xdr:colOff>
      <xdr:row>22</xdr:row>
      <xdr:rowOff>257175</xdr:rowOff>
    </xdr:to>
    <xdr:pic>
      <xdr:nvPicPr>
        <xdr:cNvPr id="20" name="Picture 6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29450" y="48101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171450</xdr:rowOff>
    </xdr:from>
    <xdr:to>
      <xdr:col>3</xdr:col>
      <xdr:colOff>114300</xdr:colOff>
      <xdr:row>7</xdr:row>
      <xdr:rowOff>123825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00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142875</xdr:rowOff>
    </xdr:from>
    <xdr:to>
      <xdr:col>8</xdr:col>
      <xdr:colOff>771525</xdr:colOff>
      <xdr:row>7</xdr:row>
      <xdr:rowOff>133350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7152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161925</xdr:rowOff>
    </xdr:from>
    <xdr:to>
      <xdr:col>13</xdr:col>
      <xdr:colOff>771525</xdr:colOff>
      <xdr:row>7</xdr:row>
      <xdr:rowOff>114300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7905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171450</xdr:rowOff>
    </xdr:from>
    <xdr:to>
      <xdr:col>18</xdr:col>
      <xdr:colOff>781050</xdr:colOff>
      <xdr:row>7</xdr:row>
      <xdr:rowOff>123825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800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180975</xdr:rowOff>
    </xdr:from>
    <xdr:to>
      <xdr:col>3</xdr:col>
      <xdr:colOff>114300</xdr:colOff>
      <xdr:row>11</xdr:row>
      <xdr:rowOff>133350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809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180975</xdr:rowOff>
    </xdr:from>
    <xdr:to>
      <xdr:col>8</xdr:col>
      <xdr:colOff>771525</xdr:colOff>
      <xdr:row>11</xdr:row>
      <xdr:rowOff>133350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52700" y="18097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</xdr:row>
      <xdr:rowOff>161925</xdr:rowOff>
    </xdr:from>
    <xdr:to>
      <xdr:col>13</xdr:col>
      <xdr:colOff>781050</xdr:colOff>
      <xdr:row>11</xdr:row>
      <xdr:rowOff>114300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1790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7</xdr:row>
      <xdr:rowOff>171450</xdr:rowOff>
    </xdr:from>
    <xdr:to>
      <xdr:col>18</xdr:col>
      <xdr:colOff>781050</xdr:colOff>
      <xdr:row>11</xdr:row>
      <xdr:rowOff>104775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10400" y="1800225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190500</xdr:rowOff>
    </xdr:from>
    <xdr:to>
      <xdr:col>3</xdr:col>
      <xdr:colOff>114300</xdr:colOff>
      <xdr:row>15</xdr:row>
      <xdr:rowOff>142875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8194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180975</xdr:rowOff>
    </xdr:from>
    <xdr:to>
      <xdr:col>8</xdr:col>
      <xdr:colOff>762000</xdr:colOff>
      <xdr:row>15</xdr:row>
      <xdr:rowOff>95250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2809875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161925</xdr:rowOff>
    </xdr:from>
    <xdr:to>
      <xdr:col>13</xdr:col>
      <xdr:colOff>790575</xdr:colOff>
      <xdr:row>15</xdr:row>
      <xdr:rowOff>114300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81550" y="27908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171450</xdr:rowOff>
    </xdr:from>
    <xdr:to>
      <xdr:col>18</xdr:col>
      <xdr:colOff>790575</xdr:colOff>
      <xdr:row>15</xdr:row>
      <xdr:rowOff>123825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0400" y="2800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190500</xdr:rowOff>
    </xdr:from>
    <xdr:to>
      <xdr:col>3</xdr:col>
      <xdr:colOff>114300</xdr:colOff>
      <xdr:row>19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3819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</xdr:row>
      <xdr:rowOff>161925</xdr:rowOff>
    </xdr:from>
    <xdr:to>
      <xdr:col>8</xdr:col>
      <xdr:colOff>771525</xdr:colOff>
      <xdr:row>19</xdr:row>
      <xdr:rowOff>95250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379095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152400</xdr:rowOff>
    </xdr:from>
    <xdr:to>
      <xdr:col>13</xdr:col>
      <xdr:colOff>790575</xdr:colOff>
      <xdr:row>19</xdr:row>
      <xdr:rowOff>104775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81550" y="37814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171450</xdr:rowOff>
    </xdr:from>
    <xdr:to>
      <xdr:col>18</xdr:col>
      <xdr:colOff>800100</xdr:colOff>
      <xdr:row>19</xdr:row>
      <xdr:rowOff>133350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10400" y="3800475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200025</xdr:rowOff>
    </xdr:from>
    <xdr:to>
      <xdr:col>3</xdr:col>
      <xdr:colOff>104775</xdr:colOff>
      <xdr:row>22</xdr:row>
      <xdr:rowOff>276225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48291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19</xdr:row>
      <xdr:rowOff>152400</xdr:rowOff>
    </xdr:from>
    <xdr:to>
      <xdr:col>8</xdr:col>
      <xdr:colOff>790575</xdr:colOff>
      <xdr:row>22</xdr:row>
      <xdr:rowOff>228600</xdr:rowOff>
    </xdr:to>
    <xdr:pic>
      <xdr:nvPicPr>
        <xdr:cNvPr id="18" name="Picture 6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0" y="47815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19</xdr:row>
      <xdr:rowOff>161925</xdr:rowOff>
    </xdr:from>
    <xdr:to>
      <xdr:col>13</xdr:col>
      <xdr:colOff>771525</xdr:colOff>
      <xdr:row>22</xdr:row>
      <xdr:rowOff>200025</xdr:rowOff>
    </xdr:to>
    <xdr:pic>
      <xdr:nvPicPr>
        <xdr:cNvPr id="19" name="Picture 6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91075" y="4791075"/>
          <a:ext cx="733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171450</xdr:rowOff>
    </xdr:from>
    <xdr:to>
      <xdr:col>18</xdr:col>
      <xdr:colOff>790575</xdr:colOff>
      <xdr:row>22</xdr:row>
      <xdr:rowOff>247650</xdr:rowOff>
    </xdr:to>
    <xdr:pic>
      <xdr:nvPicPr>
        <xdr:cNvPr id="20" name="Picture 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10400" y="4800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142875</xdr:rowOff>
    </xdr:from>
    <xdr:to>
      <xdr:col>3</xdr:col>
      <xdr:colOff>104775</xdr:colOff>
      <xdr:row>7</xdr:row>
      <xdr:rowOff>95250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71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142875</xdr:rowOff>
    </xdr:from>
    <xdr:to>
      <xdr:col>8</xdr:col>
      <xdr:colOff>771525</xdr:colOff>
      <xdr:row>7</xdr:row>
      <xdr:rowOff>95250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7715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152400</xdr:rowOff>
    </xdr:from>
    <xdr:to>
      <xdr:col>13</xdr:col>
      <xdr:colOff>790575</xdr:colOff>
      <xdr:row>7</xdr:row>
      <xdr:rowOff>85725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781050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161925</xdr:rowOff>
    </xdr:from>
    <xdr:to>
      <xdr:col>18</xdr:col>
      <xdr:colOff>781050</xdr:colOff>
      <xdr:row>7</xdr:row>
      <xdr:rowOff>114300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9925" y="7905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161925</xdr:rowOff>
    </xdr:from>
    <xdr:to>
      <xdr:col>3</xdr:col>
      <xdr:colOff>104775</xdr:colOff>
      <xdr:row>11</xdr:row>
      <xdr:rowOff>114300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790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161925</xdr:rowOff>
    </xdr:from>
    <xdr:to>
      <xdr:col>8</xdr:col>
      <xdr:colOff>781050</xdr:colOff>
      <xdr:row>11</xdr:row>
      <xdr:rowOff>114300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17907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133350</xdr:rowOff>
    </xdr:from>
    <xdr:to>
      <xdr:col>13</xdr:col>
      <xdr:colOff>809625</xdr:colOff>
      <xdr:row>11</xdr:row>
      <xdr:rowOff>171450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1762125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7</xdr:row>
      <xdr:rowOff>171450</xdr:rowOff>
    </xdr:from>
    <xdr:to>
      <xdr:col>18</xdr:col>
      <xdr:colOff>781050</xdr:colOff>
      <xdr:row>11</xdr:row>
      <xdr:rowOff>123825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19925" y="18002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180975</xdr:rowOff>
    </xdr:from>
    <xdr:to>
      <xdr:col>3</xdr:col>
      <xdr:colOff>104775</xdr:colOff>
      <xdr:row>15</xdr:row>
      <xdr:rowOff>114300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2809875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11</xdr:row>
      <xdr:rowOff>171450</xdr:rowOff>
    </xdr:from>
    <xdr:to>
      <xdr:col>8</xdr:col>
      <xdr:colOff>790575</xdr:colOff>
      <xdr:row>15</xdr:row>
      <xdr:rowOff>123825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280035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11</xdr:row>
      <xdr:rowOff>219075</xdr:rowOff>
    </xdr:from>
    <xdr:to>
      <xdr:col>13</xdr:col>
      <xdr:colOff>800100</xdr:colOff>
      <xdr:row>15</xdr:row>
      <xdr:rowOff>171450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00600" y="28479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180975</xdr:rowOff>
    </xdr:from>
    <xdr:to>
      <xdr:col>18</xdr:col>
      <xdr:colOff>781050</xdr:colOff>
      <xdr:row>15</xdr:row>
      <xdr:rowOff>133350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9925" y="28098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171450</xdr:rowOff>
    </xdr:from>
    <xdr:to>
      <xdr:col>3</xdr:col>
      <xdr:colOff>104775</xdr:colOff>
      <xdr:row>19</xdr:row>
      <xdr:rowOff>123825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3800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15</xdr:row>
      <xdr:rowOff>171450</xdr:rowOff>
    </xdr:from>
    <xdr:to>
      <xdr:col>8</xdr:col>
      <xdr:colOff>790575</xdr:colOff>
      <xdr:row>19</xdr:row>
      <xdr:rowOff>123825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0" y="38004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15</xdr:row>
      <xdr:rowOff>219075</xdr:rowOff>
    </xdr:from>
    <xdr:to>
      <xdr:col>13</xdr:col>
      <xdr:colOff>800100</xdr:colOff>
      <xdr:row>19</xdr:row>
      <xdr:rowOff>171450</xdr:rowOff>
    </xdr:to>
    <xdr:pic>
      <xdr:nvPicPr>
        <xdr:cNvPr id="15" name="Picture 5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00600" y="38481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180975</xdr:rowOff>
    </xdr:from>
    <xdr:to>
      <xdr:col>18</xdr:col>
      <xdr:colOff>790575</xdr:colOff>
      <xdr:row>19</xdr:row>
      <xdr:rowOff>133350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29450" y="38100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171450</xdr:rowOff>
    </xdr:from>
    <xdr:to>
      <xdr:col>3</xdr:col>
      <xdr:colOff>104775</xdr:colOff>
      <xdr:row>22</xdr:row>
      <xdr:rowOff>247650</xdr:rowOff>
    </xdr:to>
    <xdr:pic>
      <xdr:nvPicPr>
        <xdr:cNvPr id="17" name="Picture 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3850" y="4800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19</xdr:row>
      <xdr:rowOff>171450</xdr:rowOff>
    </xdr:from>
    <xdr:to>
      <xdr:col>8</xdr:col>
      <xdr:colOff>781050</xdr:colOff>
      <xdr:row>22</xdr:row>
      <xdr:rowOff>247650</xdr:rowOff>
    </xdr:to>
    <xdr:pic>
      <xdr:nvPicPr>
        <xdr:cNvPr id="18" name="Picture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48006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219075</xdr:rowOff>
    </xdr:from>
    <xdr:to>
      <xdr:col>13</xdr:col>
      <xdr:colOff>790575</xdr:colOff>
      <xdr:row>22</xdr:row>
      <xdr:rowOff>295275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91075" y="48482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19</xdr:row>
      <xdr:rowOff>180975</xdr:rowOff>
    </xdr:from>
    <xdr:to>
      <xdr:col>18</xdr:col>
      <xdr:colOff>790575</xdr:colOff>
      <xdr:row>22</xdr:row>
      <xdr:rowOff>257175</xdr:rowOff>
    </xdr:to>
    <xdr:pic>
      <xdr:nvPicPr>
        <xdr:cNvPr id="20" name="Picture 6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29450" y="48101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2"/>
  <sheetViews>
    <sheetView showGridLines="0" showRowColHeaders="0" tabSelected="1" workbookViewId="0" topLeftCell="A1">
      <selection activeCell="A1" sqref="A1"/>
    </sheetView>
  </sheetViews>
  <sheetFormatPr defaultColWidth="9.00390625" defaultRowHeight="24.75" customHeight="1"/>
  <cols>
    <col min="1" max="1" width="1.12109375" style="1" customWidth="1"/>
    <col min="2" max="2" width="3.125" style="1" customWidth="1"/>
    <col min="3" max="3" width="8.625" style="1" customWidth="1"/>
    <col min="4" max="4" width="2.125" style="1" customWidth="1"/>
    <col min="5" max="5" width="10.625" style="17" customWidth="1"/>
    <col min="6" max="6" width="4.625" style="2" customWidth="1"/>
    <col min="7" max="7" width="2.125" style="1" hidden="1" customWidth="1"/>
    <col min="8" max="8" width="3.125" style="1" customWidth="1"/>
    <col min="9" max="9" width="11.125" style="1" customWidth="1"/>
    <col min="10" max="10" width="10.625" style="17" customWidth="1"/>
    <col min="11" max="11" width="4.625" style="1" customWidth="1"/>
    <col min="12" max="12" width="2.125" style="1" hidden="1" customWidth="1"/>
    <col min="13" max="13" width="3.125" style="1" customWidth="1"/>
    <col min="14" max="14" width="10.875" style="1" customWidth="1"/>
    <col min="15" max="15" width="10.625" style="17" customWidth="1"/>
    <col min="16" max="16" width="4.625" style="1" customWidth="1"/>
    <col min="17" max="17" width="2.125" style="1" hidden="1" customWidth="1"/>
    <col min="18" max="18" width="3.125" style="3" customWidth="1"/>
    <col min="19" max="19" width="11.25390625" style="1" customWidth="1"/>
    <col min="20" max="20" width="10.625" style="17" customWidth="1"/>
    <col min="21" max="21" width="4.625" style="3" customWidth="1"/>
    <col min="22" max="22" width="2.125" style="3" hidden="1" customWidth="1"/>
    <col min="23" max="28" width="9.00390625" style="1" hidden="1" customWidth="1"/>
    <col min="29" max="16384" width="9.00390625" style="1" customWidth="1"/>
  </cols>
  <sheetData>
    <row r="1" ht="9.75" customHeight="1" thickBot="1"/>
    <row r="2" spans="2:28" ht="30" customHeight="1" thickBot="1">
      <c r="B2" s="4"/>
      <c r="C2" s="4"/>
      <c r="D2" s="5"/>
      <c r="E2" s="19" t="s">
        <v>108</v>
      </c>
      <c r="F2" s="6"/>
      <c r="G2" s="4"/>
      <c r="H2" s="4"/>
      <c r="J2" s="18"/>
      <c r="K2" s="4"/>
      <c r="L2" s="4"/>
      <c r="M2" s="22" t="s">
        <v>51</v>
      </c>
      <c r="N2" s="22"/>
      <c r="O2" s="7">
        <f>SUM(G5:G21)+SUM(L5:L21)+SUM(Q5:Q21)+SUM(V5:V21)</f>
        <v>0</v>
      </c>
      <c r="P2" s="8"/>
      <c r="Q2" s="4"/>
      <c r="R2" s="22" t="s">
        <v>52</v>
      </c>
      <c r="S2" s="22"/>
      <c r="T2" s="7">
        <f>'81-100'!Z2</f>
        <v>0</v>
      </c>
      <c r="U2" s="1"/>
      <c r="V2" s="1"/>
      <c r="AA2" s="9"/>
      <c r="AB2" s="10" t="s">
        <v>50</v>
      </c>
    </row>
    <row r="3" ht="9.75" customHeight="1"/>
    <row r="4" spans="2:18" ht="24.75" customHeight="1" thickBot="1">
      <c r="B4" s="11" t="s">
        <v>0</v>
      </c>
      <c r="H4" s="12" t="s">
        <v>1</v>
      </c>
      <c r="M4" s="12" t="s">
        <v>2</v>
      </c>
      <c r="R4" s="12" t="s">
        <v>3</v>
      </c>
    </row>
    <row r="5" spans="5:22" ht="19.5" customHeight="1" thickBot="1">
      <c r="E5" s="20"/>
      <c r="F5" s="13">
        <f>IF(E5="","",(IF(E5="Déri János",$AB$2,$AA$2)))</f>
      </c>
      <c r="G5" s="14">
        <f>IF(E5="Déri János",1,0)</f>
        <v>0</v>
      </c>
      <c r="J5" s="20"/>
      <c r="K5" s="13">
        <f>IF(J5="","",(IF(J5="Széchenyi István",$AB$2,$AA$2)))</f>
      </c>
      <c r="L5" s="14">
        <f>IF(J5="Széchenyi István",1,0)</f>
        <v>0</v>
      </c>
      <c r="O5" s="20"/>
      <c r="P5" s="13">
        <f>IF(O5="","",(IF(O5="Mikszáth Kálmán",$AB$2,$AA$2)))</f>
      </c>
      <c r="Q5" s="14">
        <f>IF(O5="Mikszáth Kálmán",1,0)</f>
        <v>0</v>
      </c>
      <c r="T5" s="20"/>
      <c r="U5" s="13">
        <f>IF(T5="","",(IF(T5="Egressy Béni",$AB$2,$AA$2)))</f>
      </c>
      <c r="V5" s="14">
        <f>IF(T5="Egressy Béni",1,0)</f>
        <v>0</v>
      </c>
    </row>
    <row r="6" ht="24.75" customHeight="1">
      <c r="F6" s="15"/>
    </row>
    <row r="7" ht="9.75" customHeight="1"/>
    <row r="8" spans="2:18" ht="24.75" customHeight="1" thickBot="1">
      <c r="B8" s="11" t="s">
        <v>4</v>
      </c>
      <c r="H8" s="12" t="s">
        <v>5</v>
      </c>
      <c r="M8" s="12" t="s">
        <v>6</v>
      </c>
      <c r="R8" s="12" t="s">
        <v>7</v>
      </c>
    </row>
    <row r="9" spans="5:22" ht="19.5" customHeight="1" thickBot="1">
      <c r="E9" s="20"/>
      <c r="F9" s="13">
        <f>IF(E9="","",(IF(E9="Abody Béla",$AB$2,$AA$2)))</f>
      </c>
      <c r="G9" s="14">
        <f>IF(E9="Abody Béla",1,0)</f>
        <v>0</v>
      </c>
      <c r="J9" s="20"/>
      <c r="K9" s="13">
        <f>IF(J9="","",(IF(J9="Fábri Zoltán",$AB$2,$AA$2)))</f>
      </c>
      <c r="L9" s="14">
        <f>IF(J9="Fábri Zoltán",1,0)</f>
        <v>0</v>
      </c>
      <c r="O9" s="20"/>
      <c r="P9" s="13">
        <f>IF(O9="","",(IF(O9="Bartók Béla",$AB$2,$AA$2)))</f>
      </c>
      <c r="Q9" s="14">
        <f>IF(O9="Bartók Béla",1,0)</f>
        <v>0</v>
      </c>
      <c r="T9" s="20"/>
      <c r="U9" s="13">
        <f>IF(T9="","",(IF(T9="Németh László",$AB$2,$AA$2)))</f>
      </c>
      <c r="V9" s="14">
        <f>IF(T9="Németh László",1,0)</f>
        <v>0</v>
      </c>
    </row>
    <row r="10" ht="24.75" customHeight="1">
      <c r="F10" s="15"/>
    </row>
    <row r="11" ht="9.75" customHeight="1"/>
    <row r="12" spans="2:18" ht="24.75" customHeight="1" thickBot="1">
      <c r="B12" s="11" t="s">
        <v>8</v>
      </c>
      <c r="H12" s="12" t="s">
        <v>9</v>
      </c>
      <c r="M12" s="12" t="s">
        <v>10</v>
      </c>
      <c r="R12" s="12" t="s">
        <v>11</v>
      </c>
    </row>
    <row r="13" spans="5:22" ht="19.5" customHeight="1" thickBot="1">
      <c r="E13" s="20"/>
      <c r="F13" s="13">
        <f>IF(E13="","",(IF(E13="Kertész Mihály",$AB$2,$AA$2)))</f>
      </c>
      <c r="G13" s="14">
        <f>IF(E13="Kertész Mihály",1,0)</f>
        <v>0</v>
      </c>
      <c r="J13" s="20"/>
      <c r="K13" s="13">
        <f>IF(J13="","",(IF(J13="Szent-Györgyi Albert",$AB$2,$AA$2)))</f>
      </c>
      <c r="L13" s="14">
        <f>IF(J13="Szent-Györgyi Albert",1,0)</f>
        <v>0</v>
      </c>
      <c r="O13" s="20"/>
      <c r="P13" s="13">
        <f>IF(O13="","",(IF(O13="Babits Mihály",$AB$2,$AA$2)))</f>
      </c>
      <c r="Q13" s="14">
        <f>IF(O13="Babits Mihály",1,0)</f>
        <v>0</v>
      </c>
      <c r="T13" s="20"/>
      <c r="U13" s="13">
        <f>IF(T13="","",(IF(T13="Eötvös Lóránd",$AB$2,$AA$2)))</f>
      </c>
      <c r="V13" s="14">
        <f>IF(T13="Eötvös Lóránd",1,0)</f>
        <v>0</v>
      </c>
    </row>
    <row r="14" ht="24.75" customHeight="1">
      <c r="F14" s="15"/>
    </row>
    <row r="15" ht="9.75" customHeight="1"/>
    <row r="16" spans="2:18" ht="24.75" customHeight="1" thickBot="1">
      <c r="B16" s="11" t="s">
        <v>12</v>
      </c>
      <c r="H16" s="12" t="s">
        <v>13</v>
      </c>
      <c r="M16" s="12" t="s">
        <v>14</v>
      </c>
      <c r="R16" s="12" t="s">
        <v>15</v>
      </c>
    </row>
    <row r="17" spans="5:22" ht="19.5" customHeight="1" thickBot="1">
      <c r="E17" s="20"/>
      <c r="F17" s="13">
        <f>IF(E17="","",(IF(E17="Ottlik Géza",$AB$2,$AA$2)))</f>
      </c>
      <c r="G17" s="14">
        <f>IF(E17="Ottlik Géza",1,0)</f>
        <v>0</v>
      </c>
      <c r="J17" s="20"/>
      <c r="K17" s="13">
        <f>IF(J17="","",(IF(J17="Kölcsey Ferenc",$AB$2,$AA$2)))</f>
      </c>
      <c r="L17" s="14">
        <f>IF(J17="Kölcsey Ferenc",1,0)</f>
        <v>0</v>
      </c>
      <c r="O17" s="20"/>
      <c r="P17" s="13">
        <f>IF(O17="","",(IF(O17="Lázár Ervin",$AB$2,$AA$2)))</f>
      </c>
      <c r="Q17" s="14">
        <f>IF(O17="Lázár Ervin",1,0)</f>
        <v>0</v>
      </c>
      <c r="T17" s="20"/>
      <c r="U17" s="13">
        <f>IF(T17="","",(IF(T17="Latabár Kálmán",$AB$2,$AA$2)))</f>
      </c>
      <c r="V17" s="14">
        <f>IF(T17="Latabár Kálmán",1,0)</f>
        <v>0</v>
      </c>
    </row>
    <row r="18" ht="24.75" customHeight="1">
      <c r="F18" s="15"/>
    </row>
    <row r="19" ht="9.75" customHeight="1"/>
    <row r="20" spans="2:18" ht="24.75" customHeight="1" thickBot="1">
      <c r="B20" s="11" t="s">
        <v>16</v>
      </c>
      <c r="H20" s="12" t="s">
        <v>17</v>
      </c>
      <c r="M20" s="12" t="s">
        <v>18</v>
      </c>
      <c r="R20" s="12" t="s">
        <v>19</v>
      </c>
    </row>
    <row r="21" spans="5:22" ht="19.5" customHeight="1" thickBot="1">
      <c r="E21" s="20"/>
      <c r="F21" s="13">
        <f>IF(E21="","",(IF(E21="Andrássy Gyula",$AB$2,$AA$2)))</f>
      </c>
      <c r="G21" s="14">
        <f>IF(E21="Andrássy Gyula",1,0)</f>
        <v>0</v>
      </c>
      <c r="J21" s="20"/>
      <c r="K21" s="13">
        <f>IF(J21="","",(IF(J21="Csáth Géza",$AB$2,$AA$2)))</f>
      </c>
      <c r="L21" s="14">
        <f>IF(J21="Csáth Géza",1,0)</f>
        <v>0</v>
      </c>
      <c r="O21" s="20"/>
      <c r="P21" s="13">
        <f>IF(O21="","",(IF(O21="Bajor Gizi",$AB$2,$AA$2)))</f>
      </c>
      <c r="Q21" s="14">
        <f>IF(O21="Bajor Gizi",1,0)</f>
        <v>0</v>
      </c>
      <c r="T21" s="20"/>
      <c r="U21" s="13">
        <f>IF(T21="","",(IF(T21="József Attila",$AB$2,$AA$2)))</f>
      </c>
      <c r="V21" s="14">
        <f>IF(T21="József Attila",1,0)</f>
        <v>0</v>
      </c>
    </row>
    <row r="22" ht="24.75" customHeight="1">
      <c r="F22" s="15"/>
    </row>
  </sheetData>
  <sheetProtection password="CA73" sheet="1" objects="1" scenarios="1"/>
  <mergeCells count="2">
    <mergeCell ref="M2:N2"/>
    <mergeCell ref="R2:S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2"/>
  <sheetViews>
    <sheetView showRowColHeaders="0" workbookViewId="0" topLeftCell="A1">
      <selection activeCell="A1" sqref="A1"/>
    </sheetView>
  </sheetViews>
  <sheetFormatPr defaultColWidth="9.00390625" defaultRowHeight="24.75" customHeight="1"/>
  <cols>
    <col min="1" max="1" width="1.12109375" style="1" customWidth="1"/>
    <col min="2" max="2" width="3.125" style="1" customWidth="1"/>
    <col min="3" max="3" width="8.625" style="1" customWidth="1"/>
    <col min="4" max="4" width="2.125" style="1" customWidth="1"/>
    <col min="5" max="5" width="10.625" style="17" customWidth="1"/>
    <col min="6" max="6" width="4.625" style="2" customWidth="1"/>
    <col min="7" max="7" width="2.125" style="1" hidden="1" customWidth="1"/>
    <col min="8" max="8" width="3.125" style="1" customWidth="1"/>
    <col min="9" max="9" width="10.75390625" style="1" customWidth="1"/>
    <col min="10" max="10" width="10.625" style="17" customWidth="1"/>
    <col min="11" max="11" width="4.625" style="1" customWidth="1"/>
    <col min="12" max="12" width="2.125" style="1" hidden="1" customWidth="1"/>
    <col min="13" max="13" width="3.125" style="1" customWidth="1"/>
    <col min="14" max="14" width="11.00390625" style="1" customWidth="1"/>
    <col min="15" max="15" width="10.625" style="17" customWidth="1"/>
    <col min="16" max="16" width="4.625" style="1" customWidth="1"/>
    <col min="17" max="17" width="2.125" style="1" hidden="1" customWidth="1"/>
    <col min="18" max="18" width="3.125" style="3" customWidth="1"/>
    <col min="19" max="19" width="10.625" style="1" customWidth="1"/>
    <col min="20" max="20" width="10.625" style="17" customWidth="1"/>
    <col min="21" max="21" width="4.625" style="3" customWidth="1"/>
    <col min="22" max="22" width="2.125" style="3" hidden="1" customWidth="1"/>
    <col min="23" max="28" width="9.00390625" style="1" hidden="1" customWidth="1"/>
    <col min="29" max="16384" width="9.00390625" style="1" customWidth="1"/>
  </cols>
  <sheetData>
    <row r="1" ht="9.75" customHeight="1" thickBot="1"/>
    <row r="2" spans="2:28" ht="30" customHeight="1" thickBot="1">
      <c r="B2" s="4"/>
      <c r="C2" s="4"/>
      <c r="D2" s="5"/>
      <c r="E2" s="19" t="s">
        <v>108</v>
      </c>
      <c r="F2" s="6"/>
      <c r="G2" s="4"/>
      <c r="H2" s="4"/>
      <c r="J2" s="18"/>
      <c r="K2" s="4"/>
      <c r="L2" s="4"/>
      <c r="M2" s="22" t="s">
        <v>53</v>
      </c>
      <c r="N2" s="22"/>
      <c r="O2" s="7">
        <f>SUM(G5:G21)+SUM(L5:L21)+SUM(Q5:Q21)+SUM(V5:V21)</f>
        <v>0</v>
      </c>
      <c r="P2" s="8"/>
      <c r="Q2" s="4"/>
      <c r="R2" s="22" t="s">
        <v>52</v>
      </c>
      <c r="S2" s="22"/>
      <c r="T2" s="7">
        <f>'81-100'!Z2</f>
        <v>0</v>
      </c>
      <c r="U2" s="1"/>
      <c r="V2" s="1"/>
      <c r="AA2" s="9"/>
      <c r="AB2" s="10" t="s">
        <v>50</v>
      </c>
    </row>
    <row r="3" ht="9.75" customHeight="1"/>
    <row r="4" spans="2:18" ht="24.75" customHeight="1" thickBot="1">
      <c r="B4" s="11" t="s">
        <v>20</v>
      </c>
      <c r="H4" s="12" t="s">
        <v>21</v>
      </c>
      <c r="M4" s="12" t="s">
        <v>22</v>
      </c>
      <c r="R4" s="12" t="s">
        <v>23</v>
      </c>
    </row>
    <row r="5" spans="5:22" ht="19.5" customHeight="1" thickBot="1">
      <c r="E5" s="20"/>
      <c r="F5" s="13">
        <f>IF(E5="","",(IF(E5="Heltai Jenő",$AB$2,$AA$2)))</f>
      </c>
      <c r="G5" s="14">
        <f>IF(E5="Heltai Jenő",1,0)</f>
        <v>0</v>
      </c>
      <c r="J5" s="20"/>
      <c r="K5" s="13">
        <f>IF(J5="","",(IF(J5="Zelk Zoltán",$AB$2,$AA$2)))</f>
      </c>
      <c r="L5" s="14">
        <f>IF(J5="Zelk Zoltán",1,0)</f>
        <v>0</v>
      </c>
      <c r="O5" s="20"/>
      <c r="P5" s="13">
        <f>IF(O5="","",(IF(O5="Lehár Ferenc",$AB$2,$AA$2)))</f>
      </c>
      <c r="Q5" s="14">
        <f>IF(O5="Lehár Ferenc",1,0)</f>
        <v>0</v>
      </c>
      <c r="T5" s="20"/>
      <c r="U5" s="13">
        <f>IF(T5="","",(IF(T5="Szilárd Leó",$AB$2,$AA$2)))</f>
      </c>
      <c r="V5" s="14">
        <f>IF(T5="Szilárd Leó",1,0)</f>
        <v>0</v>
      </c>
    </row>
    <row r="6" ht="24.75" customHeight="1">
      <c r="F6" s="15"/>
    </row>
    <row r="7" ht="9.75" customHeight="1"/>
    <row r="8" spans="2:18" ht="24.75" customHeight="1" thickBot="1">
      <c r="B8" s="11" t="s">
        <v>24</v>
      </c>
      <c r="H8" s="12" t="s">
        <v>25</v>
      </c>
      <c r="M8" s="12" t="s">
        <v>26</v>
      </c>
      <c r="R8" s="12" t="s">
        <v>27</v>
      </c>
    </row>
    <row r="9" spans="5:22" ht="19.5" customHeight="1" thickBot="1">
      <c r="E9" s="20"/>
      <c r="F9" s="13">
        <f>IF(E9="","",(IF(E9="Kéthly Anna",$AB$2,$AA$2)))</f>
      </c>
      <c r="G9" s="14">
        <f>IF(E9="Kéthly Anna",1,0)</f>
        <v>0</v>
      </c>
      <c r="J9" s="20"/>
      <c r="K9" s="13">
        <f>IF(J9="","",(IF(J9="Blaha Lujza",$AB$2,$AA$2)))</f>
      </c>
      <c r="L9" s="14">
        <f>IF(J9="Blaha Lujza",1,0)</f>
        <v>0</v>
      </c>
      <c r="O9" s="20"/>
      <c r="P9" s="13">
        <f>IF(O9="","",(IF(O9="Fényes Szabolcs",$AB$2,$AA$2)))</f>
      </c>
      <c r="Q9" s="14">
        <f>IF(O9="Fényes Szabolcs",1,0)</f>
        <v>0</v>
      </c>
      <c r="T9" s="20"/>
      <c r="U9" s="13">
        <f>IF(T9="","",(IF(T9="Asbóth Oszkár",$AB$2,$AA$2)))</f>
      </c>
      <c r="V9" s="14">
        <f>IF(T9="Asbóth Oszkár",1,0)</f>
        <v>0</v>
      </c>
    </row>
    <row r="10" ht="24.75" customHeight="1">
      <c r="F10" s="15"/>
    </row>
    <row r="11" ht="9.75" customHeight="1"/>
    <row r="12" spans="2:18" ht="24.75" customHeight="1" thickBot="1">
      <c r="B12" s="11" t="s">
        <v>28</v>
      </c>
      <c r="H12" s="12" t="s">
        <v>29</v>
      </c>
      <c r="M12" s="12" t="s">
        <v>30</v>
      </c>
      <c r="R12" s="12" t="s">
        <v>31</v>
      </c>
    </row>
    <row r="13" spans="5:22" ht="19.5" customHeight="1" thickBot="1">
      <c r="E13" s="20"/>
      <c r="F13" s="13">
        <f>IF(E13="","",(IF(E13="Csoóri Sándor",$AB$2,$AA$2)))</f>
      </c>
      <c r="G13" s="14">
        <f>IF(E13="Csoóri Sándor",1,0)</f>
        <v>0</v>
      </c>
      <c r="J13" s="20"/>
      <c r="K13" s="13">
        <f>IF(J13="","",(IF(J13="Rejtő Jenő",$AB$2,$AA$2)))</f>
      </c>
      <c r="L13" s="14">
        <f>IF(J13="Rejtő Jenő",1,0)</f>
        <v>0</v>
      </c>
      <c r="O13" s="20"/>
      <c r="P13" s="13">
        <f>IF(O13="","",(IF(O13="Latinovits Zoltán",$AB$2,$AA$2)))</f>
      </c>
      <c r="Q13" s="14">
        <f>IF(O13="Latinovits Zoltán",1,0)</f>
        <v>0</v>
      </c>
      <c r="T13" s="20"/>
      <c r="U13" s="13">
        <f>IF(T13="","",(IF(T13="Kovács Margit",$AB$2,$AA$2)))</f>
      </c>
      <c r="V13" s="14">
        <f>IF(T13="Kovács Margit",1,0)</f>
        <v>0</v>
      </c>
    </row>
    <row r="14" ht="24.75" customHeight="1">
      <c r="F14" s="15"/>
    </row>
    <row r="15" ht="9.75" customHeight="1"/>
    <row r="16" spans="2:18" ht="24.75" customHeight="1" thickBot="1">
      <c r="B16" s="11" t="s">
        <v>32</v>
      </c>
      <c r="H16" s="12" t="s">
        <v>33</v>
      </c>
      <c r="M16" s="12" t="s">
        <v>34</v>
      </c>
      <c r="R16" s="12" t="s">
        <v>35</v>
      </c>
    </row>
    <row r="17" spans="5:22" ht="19.5" customHeight="1" thickBot="1">
      <c r="E17" s="20"/>
      <c r="F17" s="13">
        <f>IF(E17="","",(IF(E17="Bajcsy-Zsilinszky Endre",$AB$2,$AA$2)))</f>
      </c>
      <c r="G17" s="14">
        <f>IF(E17="Bajcsy-Zsilinszky Endre",1,0)</f>
        <v>0</v>
      </c>
      <c r="J17" s="20"/>
      <c r="K17" s="13">
        <f>IF(J17="","",(IF(J17="Krúdy Gyula",$AB$2,$AA$2)))</f>
      </c>
      <c r="L17" s="14">
        <f>IF(J17="Krúdy Gyula",1,0)</f>
        <v>0</v>
      </c>
      <c r="O17" s="20"/>
      <c r="P17" s="13">
        <f>IF(O17="","",(IF(O17="Kaffka Margit",$AB$2,$AA$2)))</f>
      </c>
      <c r="Q17" s="14">
        <f>IF(O17="Kaffka Margit",1,0)</f>
        <v>0</v>
      </c>
      <c r="T17" s="20"/>
      <c r="U17" s="13">
        <f>IF(T17="","",(IF(T17="Wigner Jenő",$AB$2,$AA$2)))</f>
      </c>
      <c r="V17" s="14">
        <f>IF(T17="Wigner Jenő",1,0)</f>
        <v>0</v>
      </c>
    </row>
    <row r="18" ht="24.75" customHeight="1">
      <c r="F18" s="15"/>
    </row>
    <row r="19" ht="9.75" customHeight="1"/>
    <row r="20" spans="2:18" ht="24.75" customHeight="1" thickBot="1">
      <c r="B20" s="11" t="s">
        <v>36</v>
      </c>
      <c r="H20" s="12" t="s">
        <v>37</v>
      </c>
      <c r="M20" s="12" t="s">
        <v>38</v>
      </c>
      <c r="R20" s="12" t="s">
        <v>39</v>
      </c>
    </row>
    <row r="21" spans="5:22" ht="19.5" customHeight="1" thickBot="1">
      <c r="E21" s="20"/>
      <c r="F21" s="13">
        <f>IF(E21="","",(IF(E21="Puskás Ferenc",$AB$2,$AA$2)))</f>
      </c>
      <c r="G21" s="14">
        <f>IF(E21="Puskás Ferenc",1,0)</f>
        <v>0</v>
      </c>
      <c r="J21" s="20"/>
      <c r="K21" s="13">
        <f>IF(J21="","",(IF(J21="Károlyi Mihály",$AB$2,$AA$2)))</f>
      </c>
      <c r="L21" s="14">
        <f>IF(J21="Károlyi Mihály",1,0)</f>
        <v>0</v>
      </c>
      <c r="O21" s="20"/>
      <c r="P21" s="13">
        <f>IF(O21="","",(IF(O21="Jávor Pál",$AB$2,$AA$2)))</f>
      </c>
      <c r="Q21" s="14">
        <f>IF(O21="Jávor Pál",1,0)</f>
        <v>0</v>
      </c>
      <c r="T21" s="20"/>
      <c r="U21" s="13">
        <f>IF(T21="","",(IF(T21="Semmelweis Ignác",$AB$2,$AA$2)))</f>
      </c>
      <c r="V21" s="14">
        <f>IF(T21="Semmelweis Ignác",1,0)</f>
        <v>0</v>
      </c>
    </row>
    <row r="22" ht="24.75" customHeight="1">
      <c r="F22" s="15"/>
    </row>
  </sheetData>
  <sheetProtection password="CA73" sheet="1" objects="1" scenarios="1"/>
  <mergeCells count="2">
    <mergeCell ref="M2:N2"/>
    <mergeCell ref="R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22"/>
  <sheetViews>
    <sheetView showRowColHeaders="0" workbookViewId="0" topLeftCell="A1">
      <selection activeCell="A1" sqref="A1"/>
    </sheetView>
  </sheetViews>
  <sheetFormatPr defaultColWidth="9.00390625" defaultRowHeight="24.75" customHeight="1"/>
  <cols>
    <col min="1" max="1" width="1.12109375" style="1" customWidth="1"/>
    <col min="2" max="2" width="3.125" style="1" customWidth="1"/>
    <col min="3" max="3" width="8.625" style="1" customWidth="1"/>
    <col min="4" max="4" width="2.125" style="1" customWidth="1"/>
    <col min="5" max="5" width="10.625" style="17" customWidth="1"/>
    <col min="6" max="6" width="4.625" style="2" customWidth="1"/>
    <col min="7" max="7" width="2.125" style="1" hidden="1" customWidth="1"/>
    <col min="8" max="8" width="3.125" style="1" customWidth="1"/>
    <col min="9" max="9" width="10.875" style="1" customWidth="1"/>
    <col min="10" max="10" width="10.625" style="17" customWidth="1"/>
    <col min="11" max="11" width="4.625" style="1" customWidth="1"/>
    <col min="12" max="12" width="2.125" style="1" hidden="1" customWidth="1"/>
    <col min="13" max="13" width="3.125" style="1" customWidth="1"/>
    <col min="14" max="14" width="10.75390625" style="1" customWidth="1"/>
    <col min="15" max="15" width="10.625" style="17" customWidth="1"/>
    <col min="16" max="16" width="4.625" style="1" customWidth="1"/>
    <col min="17" max="17" width="2.125" style="1" hidden="1" customWidth="1"/>
    <col min="18" max="18" width="3.125" style="3" customWidth="1"/>
    <col min="19" max="19" width="11.125" style="1" customWidth="1"/>
    <col min="20" max="20" width="10.625" style="17" customWidth="1"/>
    <col min="21" max="21" width="4.625" style="3" customWidth="1"/>
    <col min="22" max="22" width="2.125" style="3" hidden="1" customWidth="1"/>
    <col min="23" max="28" width="9.00390625" style="1" hidden="1" customWidth="1"/>
    <col min="29" max="16384" width="9.00390625" style="1" customWidth="1"/>
  </cols>
  <sheetData>
    <row r="1" ht="9.75" customHeight="1" thickBot="1"/>
    <row r="2" spans="2:28" ht="30" customHeight="1" thickBot="1">
      <c r="B2" s="4"/>
      <c r="C2" s="4"/>
      <c r="D2" s="5"/>
      <c r="E2" s="19" t="s">
        <v>108</v>
      </c>
      <c r="F2" s="6"/>
      <c r="G2" s="4"/>
      <c r="H2" s="4"/>
      <c r="J2" s="18"/>
      <c r="K2" s="4"/>
      <c r="L2" s="4"/>
      <c r="M2" s="22" t="s">
        <v>54</v>
      </c>
      <c r="N2" s="22"/>
      <c r="O2" s="7">
        <f>SUM(G5:G21)+SUM(L5:L21)+SUM(Q5:Q21)+SUM(V5:V21)</f>
        <v>0</v>
      </c>
      <c r="P2" s="8"/>
      <c r="Q2" s="4"/>
      <c r="R2" s="22" t="s">
        <v>52</v>
      </c>
      <c r="S2" s="22"/>
      <c r="T2" s="7">
        <f>'81-100'!Z2</f>
        <v>0</v>
      </c>
      <c r="U2" s="1"/>
      <c r="V2" s="1"/>
      <c r="AA2" s="9"/>
      <c r="AB2" s="10" t="s">
        <v>50</v>
      </c>
    </row>
    <row r="3" ht="9.75" customHeight="1"/>
    <row r="4" spans="2:18" ht="24.75" customHeight="1" thickBot="1">
      <c r="B4" s="11" t="s">
        <v>40</v>
      </c>
      <c r="H4" s="12" t="s">
        <v>41</v>
      </c>
      <c r="M4" s="12" t="s">
        <v>42</v>
      </c>
      <c r="R4" s="12" t="s">
        <v>43</v>
      </c>
    </row>
    <row r="5" spans="5:22" ht="19.5" customHeight="1" thickBot="1">
      <c r="E5" s="20"/>
      <c r="F5" s="13">
        <f>IF(E5="","",(IF(E5="Illyés Gyula",$AB$2,$AA$2)))</f>
      </c>
      <c r="G5" s="14">
        <f>IF(E5="Illyés Gyula",1,0)</f>
        <v>0</v>
      </c>
      <c r="J5" s="20"/>
      <c r="K5" s="13">
        <f>IF(J5="","",(IF(J5="Neumann János",$AB$2,$AA$2)))</f>
      </c>
      <c r="L5" s="14">
        <f>IF(J5="Neumann János",1,0)</f>
        <v>0</v>
      </c>
      <c r="O5" s="20"/>
      <c r="P5" s="13">
        <f>IF(O5="","",(IF(O5="Papp László",$AB$2,$AA$2)))</f>
      </c>
      <c r="Q5" s="14">
        <f>IF(O5="Papp László",1,0)</f>
        <v>0</v>
      </c>
      <c r="T5" s="20"/>
      <c r="U5" s="13">
        <f>IF(T5="","",(IF(T5="Kádár János",$AB$2,$AA$2)))</f>
      </c>
      <c r="V5" s="14">
        <f>IF(T5="Kádár János",1,0)</f>
        <v>0</v>
      </c>
    </row>
    <row r="6" ht="24.75" customHeight="1">
      <c r="F6" s="15"/>
    </row>
    <row r="7" ht="9.75" customHeight="1"/>
    <row r="8" spans="2:18" ht="24.75" customHeight="1" thickBot="1">
      <c r="B8" s="11" t="s">
        <v>44</v>
      </c>
      <c r="H8" s="12" t="s">
        <v>45</v>
      </c>
      <c r="M8" s="12" t="s">
        <v>46</v>
      </c>
      <c r="R8" s="12" t="s">
        <v>47</v>
      </c>
    </row>
    <row r="9" spans="5:22" ht="19.5" customHeight="1" thickBot="1">
      <c r="E9" s="20"/>
      <c r="F9" s="13">
        <f>IF(E9="","",(IF(E9="Déryné Széppataki Róza",$AB$2,$AA$2)))</f>
      </c>
      <c r="G9" s="14">
        <f>IF(E9="Déryné Széppataki Róza",1,0)</f>
        <v>0</v>
      </c>
      <c r="J9" s="20"/>
      <c r="K9" s="13">
        <f>IF(J9="","",(IF(J9="Honthy Hanna",$AB$2,$AA$2)))</f>
      </c>
      <c r="L9" s="14">
        <f>IF(J9="Honthy Hanna",1,0)</f>
        <v>0</v>
      </c>
      <c r="O9" s="20"/>
      <c r="P9" s="13">
        <f>IF(O9="","",(IF(O9="Kálmán Imre",$AB$2,$AA$2)))</f>
      </c>
      <c r="Q9" s="14">
        <f>IF(O9="Kálmán Imre",1,0)</f>
        <v>0</v>
      </c>
      <c r="T9" s="20"/>
      <c r="U9" s="13">
        <f>IF(T9="","",(IF(T9="Dankó Pista",$AB$2,$AA$2)))</f>
      </c>
      <c r="V9" s="14">
        <f>IF(T9="Dankó Pista",1,0)</f>
        <v>0</v>
      </c>
    </row>
    <row r="10" ht="24.75" customHeight="1">
      <c r="F10" s="15"/>
    </row>
    <row r="11" ht="9.75" customHeight="1"/>
    <row r="12" spans="2:18" ht="24.75" customHeight="1" thickBot="1">
      <c r="B12" s="11" t="s">
        <v>48</v>
      </c>
      <c r="H12" s="12" t="s">
        <v>49</v>
      </c>
      <c r="M12" s="12" t="s">
        <v>55</v>
      </c>
      <c r="R12" s="12" t="s">
        <v>56</v>
      </c>
    </row>
    <row r="13" spans="5:22" ht="19.5" customHeight="1" thickBot="1">
      <c r="E13" s="20"/>
      <c r="F13" s="13">
        <f>IF(E13="","",(IF(E13="Arany János",$AB$2,$AA$2)))</f>
      </c>
      <c r="G13" s="14">
        <f>IF(E13="Arany János",1,0)</f>
        <v>0</v>
      </c>
      <c r="J13" s="20"/>
      <c r="K13" s="13">
        <f>IF(J13="","",(IF(J13="Jászai Mari",$AB$2,$AA$2)))</f>
      </c>
      <c r="L13" s="14">
        <f>IF(J13="Jászai Mari",1,0)</f>
        <v>0</v>
      </c>
      <c r="O13" s="20"/>
      <c r="P13" s="13">
        <f>IF(O13="","",(IF(O13="Ady Endre",$AB$2,$AA$2)))</f>
      </c>
      <c r="Q13" s="14">
        <f>IF(O13="Ady Endre",1,0)</f>
        <v>0</v>
      </c>
      <c r="T13" s="20"/>
      <c r="U13" s="13">
        <f>IF(T13="","",(IF(T13="Móra Ferenc",$AB$2,$AA$2)))</f>
      </c>
      <c r="V13" s="14">
        <f>IF(T13="Móra Ferenc",1,0)</f>
        <v>0</v>
      </c>
    </row>
    <row r="14" ht="24.75" customHeight="1">
      <c r="F14" s="15"/>
    </row>
    <row r="15" ht="9.75" customHeight="1"/>
    <row r="16" spans="2:18" ht="24.75" customHeight="1" thickBot="1">
      <c r="B16" s="11" t="s">
        <v>57</v>
      </c>
      <c r="H16" s="12" t="s">
        <v>58</v>
      </c>
      <c r="M16" s="12" t="s">
        <v>59</v>
      </c>
      <c r="R16" s="12" t="s">
        <v>60</v>
      </c>
    </row>
    <row r="17" spans="5:22" ht="19.5" customHeight="1" thickBot="1">
      <c r="E17" s="20"/>
      <c r="F17" s="13">
        <f>IF(E17="","",(IF(E17="Victor Vasarely",$AB$2,$AA$2)))</f>
      </c>
      <c r="G17" s="14">
        <f>IF(E17="Victor Vasarely",1,0)</f>
        <v>0</v>
      </c>
      <c r="J17" s="20"/>
      <c r="K17" s="13">
        <f>IF(J17="","",(IF(J17="Gerevich Aladár",$AB$2,$AA$2)))</f>
      </c>
      <c r="L17" s="14">
        <f>IF(J17="Gerevich Aladár",1,0)</f>
        <v>0</v>
      </c>
      <c r="O17" s="20"/>
      <c r="P17" s="13">
        <f>IF(O17="","",(IF(O17="Karády Katalin",$AB$2,$AA$2)))</f>
      </c>
      <c r="Q17" s="14">
        <f>IF(O17="Karády Katalin",1,0)</f>
        <v>0</v>
      </c>
      <c r="T17" s="20"/>
      <c r="U17" s="13">
        <f>IF(T17="","",(IF(T17="Madách Imre",$AB$2,$AA$2)))</f>
      </c>
      <c r="V17" s="14">
        <f>IF(T17="Madách Imre",1,0)</f>
        <v>0</v>
      </c>
    </row>
    <row r="18" ht="24.75" customHeight="1">
      <c r="F18" s="15"/>
    </row>
    <row r="19" ht="9.75" customHeight="1"/>
    <row r="20" spans="2:18" ht="24.75" customHeight="1" thickBot="1">
      <c r="B20" s="11" t="s">
        <v>61</v>
      </c>
      <c r="H20" s="12" t="s">
        <v>62</v>
      </c>
      <c r="M20" s="12" t="s">
        <v>63</v>
      </c>
      <c r="R20" s="12" t="s">
        <v>64</v>
      </c>
    </row>
    <row r="21" spans="5:22" ht="19.5" customHeight="1" thickBot="1">
      <c r="E21" s="20"/>
      <c r="F21" s="13">
        <f>IF(E21="","",(IF(E21="Faludy György",$AB$2,$AA$2)))</f>
      </c>
      <c r="G21" s="14">
        <f>IF(E21="Faludy György",1,0)</f>
        <v>0</v>
      </c>
      <c r="J21" s="20"/>
      <c r="K21" s="13">
        <f>IF(J21="","",(IF(J21="Elek Ilona",$AB$2,$AA$2)))</f>
      </c>
      <c r="L21" s="14">
        <f>IF(J21="Elek Ilona",1,0)</f>
        <v>0</v>
      </c>
      <c r="O21" s="20"/>
      <c r="P21" s="13">
        <f>IF(O21="","",(IF(O21="Kossuth Lajos",$AB$2,$AA$2)))</f>
      </c>
      <c r="Q21" s="14">
        <f>IF(O21="Kossuth Lajos",1,0)</f>
        <v>0</v>
      </c>
      <c r="T21" s="20"/>
      <c r="U21" s="13">
        <f>IF(T21="","",(IF(T21="Pilinszky János",$AB$2,$AA$2)))</f>
      </c>
      <c r="V21" s="14">
        <f>IF(T21="Pilinszky János",1,0)</f>
        <v>0</v>
      </c>
    </row>
    <row r="22" ht="24.75" customHeight="1">
      <c r="F22" s="15"/>
    </row>
  </sheetData>
  <sheetProtection password="CA73" sheet="1" objects="1" scenarios="1"/>
  <mergeCells count="2">
    <mergeCell ref="M2:N2"/>
    <mergeCell ref="R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22"/>
  <sheetViews>
    <sheetView showRowColHeaders="0" workbookViewId="0" topLeftCell="A1">
      <selection activeCell="A1" sqref="A1"/>
    </sheetView>
  </sheetViews>
  <sheetFormatPr defaultColWidth="9.00390625" defaultRowHeight="24.75" customHeight="1"/>
  <cols>
    <col min="1" max="1" width="1.12109375" style="1" customWidth="1"/>
    <col min="2" max="2" width="3.125" style="1" customWidth="1"/>
    <col min="3" max="3" width="8.625" style="1" customWidth="1"/>
    <col min="4" max="4" width="2.125" style="1" customWidth="1"/>
    <col min="5" max="5" width="10.625" style="17" customWidth="1"/>
    <col min="6" max="6" width="4.625" style="2" customWidth="1"/>
    <col min="7" max="7" width="2.125" style="1" hidden="1" customWidth="1"/>
    <col min="8" max="8" width="3.125" style="1" customWidth="1"/>
    <col min="9" max="9" width="10.625" style="1" customWidth="1"/>
    <col min="10" max="10" width="10.625" style="17" customWidth="1"/>
    <col min="11" max="11" width="4.625" style="1" customWidth="1"/>
    <col min="12" max="12" width="2.125" style="1" hidden="1" customWidth="1"/>
    <col min="13" max="13" width="3.125" style="1" customWidth="1"/>
    <col min="14" max="14" width="10.875" style="1" customWidth="1"/>
    <col min="15" max="15" width="10.625" style="17" customWidth="1"/>
    <col min="16" max="16" width="4.625" style="1" customWidth="1"/>
    <col min="17" max="17" width="2.125" style="1" hidden="1" customWidth="1"/>
    <col min="18" max="18" width="3.125" style="3" customWidth="1"/>
    <col min="19" max="19" width="10.875" style="1" customWidth="1"/>
    <col min="20" max="20" width="10.625" style="17" customWidth="1"/>
    <col min="21" max="21" width="4.625" style="3" customWidth="1"/>
    <col min="22" max="22" width="2.125" style="3" hidden="1" customWidth="1"/>
    <col min="23" max="28" width="9.00390625" style="1" hidden="1" customWidth="1"/>
    <col min="29" max="16384" width="9.00390625" style="1" customWidth="1"/>
  </cols>
  <sheetData>
    <row r="1" ht="9.75" customHeight="1" thickBot="1"/>
    <row r="2" spans="2:28" ht="30" customHeight="1" thickBot="1">
      <c r="B2" s="4"/>
      <c r="C2" s="4"/>
      <c r="D2" s="5"/>
      <c r="E2" s="19" t="s">
        <v>108</v>
      </c>
      <c r="F2" s="6"/>
      <c r="G2" s="4"/>
      <c r="H2" s="4"/>
      <c r="J2" s="18"/>
      <c r="K2" s="4"/>
      <c r="L2" s="4"/>
      <c r="M2" s="22" t="s">
        <v>65</v>
      </c>
      <c r="N2" s="22"/>
      <c r="O2" s="7">
        <f>SUM(G5:G21)+SUM(L5:L21)+SUM(Q5:Q21)+SUM(V5:V21)</f>
        <v>0</v>
      </c>
      <c r="P2" s="8"/>
      <c r="Q2" s="4"/>
      <c r="R2" s="22" t="s">
        <v>52</v>
      </c>
      <c r="S2" s="22"/>
      <c r="T2" s="7">
        <f>'81-100'!Z2</f>
        <v>0</v>
      </c>
      <c r="U2" s="1"/>
      <c r="V2" s="1"/>
      <c r="AA2" s="9"/>
      <c r="AB2" s="10" t="s">
        <v>50</v>
      </c>
    </row>
    <row r="3" ht="9.75" customHeight="1"/>
    <row r="4" spans="2:18" ht="24.75" customHeight="1" thickBot="1">
      <c r="B4" s="11" t="s">
        <v>66</v>
      </c>
      <c r="H4" s="12" t="s">
        <v>67</v>
      </c>
      <c r="M4" s="12" t="s">
        <v>68</v>
      </c>
      <c r="R4" s="12" t="s">
        <v>69</v>
      </c>
    </row>
    <row r="5" spans="5:22" ht="19.5" customHeight="1" thickBot="1">
      <c r="E5" s="20"/>
      <c r="F5" s="13">
        <f>IF(E5="","",(IF(E5="Gábor Dénes",$AB$2,$AA$2)))</f>
      </c>
      <c r="G5" s="14">
        <f>IF(E5="Gábor Dénes",1,0)</f>
        <v>0</v>
      </c>
      <c r="J5" s="20"/>
      <c r="K5" s="13">
        <f>IF(J5="","",(IF(J5="Irinyi János",$AB$2,$AA$2)))</f>
      </c>
      <c r="L5" s="14">
        <f>IF(J5="Irinyi János",1,0)</f>
        <v>0</v>
      </c>
      <c r="O5" s="20"/>
      <c r="P5" s="13">
        <f>IF(O5="","",(IF(O5="Horthy Miklós",$AB$2,$AA$2)))</f>
      </c>
      <c r="Q5" s="14">
        <f>IF(O5="Horthy Miklós",1,0)</f>
        <v>0</v>
      </c>
      <c r="T5" s="20"/>
      <c r="U5" s="13">
        <f>IF(T5="","",(IF(T5="Amerigo Tot",$AB$2,$AA$2)))</f>
      </c>
      <c r="V5" s="14">
        <f>IF(T5="Amerigo Tot",1,0)</f>
        <v>0</v>
      </c>
    </row>
    <row r="6" ht="24.75" customHeight="1">
      <c r="F6" s="15"/>
    </row>
    <row r="7" ht="9.75" customHeight="1"/>
    <row r="8" spans="2:18" ht="24.75" customHeight="1" thickBot="1">
      <c r="B8" s="11" t="s">
        <v>70</v>
      </c>
      <c r="H8" s="12" t="s">
        <v>71</v>
      </c>
      <c r="M8" s="12" t="s">
        <v>72</v>
      </c>
      <c r="R8" s="12" t="s">
        <v>73</v>
      </c>
    </row>
    <row r="9" spans="5:22" ht="19.5" customHeight="1" thickBot="1">
      <c r="E9" s="20"/>
      <c r="F9" s="13">
        <f>IF(E9="","",(IF(E9="Fáy András",$AB$2,$AA$2)))</f>
      </c>
      <c r="G9" s="14">
        <f>IF(E9="Fáy András",1,0)</f>
        <v>0</v>
      </c>
      <c r="J9" s="20"/>
      <c r="K9" s="13">
        <f>IF(J9="","",(IF(J9="Bánki Donát",$AB$2,$AA$2)))</f>
      </c>
      <c r="L9" s="14">
        <f>IF(J9="Bánki Donát",1,0)</f>
        <v>0</v>
      </c>
      <c r="O9" s="20"/>
      <c r="P9" s="13">
        <f>IF(O9="","",(IF(O9="Kodály Zoltán",$AB$2,$AA$2)))</f>
      </c>
      <c r="Q9" s="14">
        <f>IF(O9="Kodály Zoltán",1,0)</f>
        <v>0</v>
      </c>
      <c r="T9" s="20"/>
      <c r="U9" s="13">
        <f>IF(T9="","",(IF(T9="Hajós Alfréd",$AB$2,$AA$2)))</f>
      </c>
      <c r="V9" s="14">
        <f>IF(T9="Hajós Alfréd",1,0)</f>
        <v>0</v>
      </c>
    </row>
    <row r="10" ht="24.75" customHeight="1">
      <c r="F10" s="15"/>
    </row>
    <row r="11" ht="9.75" customHeight="1"/>
    <row r="12" spans="2:18" ht="24.75" customHeight="1" thickBot="1">
      <c r="B12" s="11" t="s">
        <v>74</v>
      </c>
      <c r="H12" s="12" t="s">
        <v>75</v>
      </c>
      <c r="M12" s="12" t="s">
        <v>76</v>
      </c>
      <c r="R12" s="12" t="s">
        <v>77</v>
      </c>
    </row>
    <row r="13" spans="5:22" ht="19.5" customHeight="1" thickBot="1">
      <c r="E13" s="20"/>
      <c r="F13" s="13">
        <f>IF(E13="","",(IF(E13="Bródy Sándor",$AB$2,$AA$2)))</f>
      </c>
      <c r="G13" s="14">
        <f>IF(E13="Bródy Sándor",1,0)</f>
        <v>0</v>
      </c>
      <c r="J13" s="20"/>
      <c r="K13" s="13">
        <f>IF(J13="","",(IF(J13="Eck Imre",$AB$2,$AA$2)))</f>
      </c>
      <c r="L13" s="14">
        <f>IF(J13="Eck Imre",1,0)</f>
        <v>0</v>
      </c>
      <c r="O13" s="20"/>
      <c r="P13" s="13">
        <f>IF(O13="","",(IF(O13="Major Tamás",$AB$2,$AA$2)))</f>
      </c>
      <c r="Q13" s="14">
        <f>IF(O13="Major Tamás",1,0)</f>
        <v>0</v>
      </c>
      <c r="T13" s="20"/>
      <c r="U13" s="13">
        <f>IF(T13="","",(IF(T13="Füst Milán",$AB$2,$AA$2)))</f>
      </c>
      <c r="V13" s="14">
        <f>IF(T13="Füst Milán",1,0)</f>
        <v>0</v>
      </c>
    </row>
    <row r="14" ht="24.75" customHeight="1">
      <c r="F14" s="15"/>
    </row>
    <row r="15" ht="9.75" customHeight="1"/>
    <row r="16" spans="2:18" ht="24.75" customHeight="1" thickBot="1">
      <c r="B16" s="11" t="s">
        <v>78</v>
      </c>
      <c r="H16" s="12" t="s">
        <v>79</v>
      </c>
      <c r="M16" s="12" t="s">
        <v>80</v>
      </c>
      <c r="R16" s="12" t="s">
        <v>81</v>
      </c>
    </row>
    <row r="17" spans="5:22" ht="19.5" customHeight="1" thickBot="1">
      <c r="E17" s="20"/>
      <c r="F17" s="13">
        <f>IF(E17="","",(IF(E17="Kabos Gyula",$AB$2,$AA$2)))</f>
      </c>
      <c r="G17" s="14">
        <f>IF(E17="Kabos Gyula",1,0)</f>
        <v>0</v>
      </c>
      <c r="J17" s="20"/>
      <c r="K17" s="13">
        <f>IF(J17="","",(IF(J17="Huszka Jenő",$AB$2,$AA$2)))</f>
      </c>
      <c r="L17" s="14">
        <f>IF(J17="Huszka Jenő",1,0)</f>
        <v>0</v>
      </c>
      <c r="O17" s="20"/>
      <c r="P17" s="13">
        <f>IF(O17="","",(IF(O17="Kosztolányi Dezső",$AB$2,$AA$2)))</f>
      </c>
      <c r="Q17" s="14">
        <f>IF(O17="Kosztolányi Dezső",1,0)</f>
        <v>0</v>
      </c>
      <c r="T17" s="20"/>
      <c r="U17" s="13">
        <f>IF(T17="","",(IF(T17="Szerb Antal",$AB$2,$AA$2)))</f>
      </c>
      <c r="V17" s="14">
        <f>IF(T17="Szerb Antal",1,0)</f>
        <v>0</v>
      </c>
    </row>
    <row r="18" ht="24.75" customHeight="1">
      <c r="F18" s="15"/>
    </row>
    <row r="19" ht="9.75" customHeight="1"/>
    <row r="20" spans="2:18" ht="24.75" customHeight="1" thickBot="1">
      <c r="B20" s="11" t="s">
        <v>82</v>
      </c>
      <c r="H20" s="12" t="s">
        <v>83</v>
      </c>
      <c r="M20" s="12" t="s">
        <v>84</v>
      </c>
      <c r="R20" s="12" t="s">
        <v>85</v>
      </c>
    </row>
    <row r="21" spans="5:22" ht="19.5" customHeight="1" thickBot="1">
      <c r="E21" s="20"/>
      <c r="F21" s="13">
        <f>IF(E21="","",(IF(E21="Dreher Antal",$AB$2,$AA$2)))</f>
      </c>
      <c r="G21" s="14">
        <f>IF(E21="Dreher Antal",1,0)</f>
        <v>0</v>
      </c>
      <c r="J21" s="20"/>
      <c r="K21" s="13">
        <f>IF(J21="","",(IF(J21="Jókai Mór",$AB$2,$AA$2)))</f>
      </c>
      <c r="L21" s="14">
        <f>IF(J21="Jókai Mór",1,0)</f>
        <v>0</v>
      </c>
      <c r="O21" s="20"/>
      <c r="P21" s="13">
        <f>IF(O21="","",(IF(O21="Bethlen István",$AB$2,$AA$2)))</f>
      </c>
      <c r="Q21" s="14">
        <f>IF(O21="Bethlen István",1,0)</f>
        <v>0</v>
      </c>
      <c r="T21" s="20"/>
      <c r="U21" s="13">
        <f>IF(T21="","",(IF(T21="Liszt Ferenc",$AB$2,$AA$2)))</f>
      </c>
      <c r="V21" s="14">
        <f>IF(T21="Liszt Ferenc",1,0)</f>
        <v>0</v>
      </c>
    </row>
    <row r="22" ht="24.75" customHeight="1">
      <c r="F22" s="15"/>
    </row>
  </sheetData>
  <sheetProtection password="CA73" sheet="1" objects="1" scenarios="1"/>
  <mergeCells count="2">
    <mergeCell ref="M2:N2"/>
    <mergeCell ref="R2:S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23"/>
  <sheetViews>
    <sheetView showRowColHeaders="0" workbookViewId="0" topLeftCell="A1">
      <selection activeCell="A1" sqref="A1"/>
    </sheetView>
  </sheetViews>
  <sheetFormatPr defaultColWidth="9.00390625" defaultRowHeight="24.75" customHeight="1"/>
  <cols>
    <col min="1" max="1" width="1.12109375" style="1" customWidth="1"/>
    <col min="2" max="2" width="3.125" style="1" customWidth="1"/>
    <col min="3" max="3" width="8.625" style="1" customWidth="1"/>
    <col min="4" max="4" width="2.125" style="1" customWidth="1"/>
    <col min="5" max="5" width="10.625" style="17" customWidth="1"/>
    <col min="6" max="6" width="4.625" style="2" customWidth="1"/>
    <col min="7" max="7" width="2.125" style="1" hidden="1" customWidth="1"/>
    <col min="8" max="8" width="3.125" style="1" customWidth="1"/>
    <col min="9" max="9" width="10.75390625" style="1" customWidth="1"/>
    <col min="10" max="10" width="10.625" style="17" customWidth="1"/>
    <col min="11" max="11" width="4.625" style="1" customWidth="1"/>
    <col min="12" max="12" width="2.125" style="1" hidden="1" customWidth="1"/>
    <col min="13" max="13" width="3.125" style="1" customWidth="1"/>
    <col min="14" max="14" width="11.00390625" style="1" customWidth="1"/>
    <col min="15" max="15" width="10.625" style="17" customWidth="1"/>
    <col min="16" max="16" width="4.625" style="1" customWidth="1"/>
    <col min="17" max="17" width="2.125" style="1" hidden="1" customWidth="1"/>
    <col min="18" max="18" width="3.125" style="3" customWidth="1"/>
    <col min="19" max="19" width="10.875" style="1" customWidth="1"/>
    <col min="20" max="20" width="10.625" style="17" customWidth="1"/>
    <col min="21" max="21" width="4.625" style="3" customWidth="1"/>
    <col min="22" max="22" width="2.125" style="3" hidden="1" customWidth="1"/>
    <col min="23" max="28" width="9.00390625" style="1" hidden="1" customWidth="1"/>
    <col min="29" max="16384" width="9.00390625" style="1" customWidth="1"/>
  </cols>
  <sheetData>
    <row r="1" ht="9.75" customHeight="1" thickBot="1"/>
    <row r="2" spans="2:28" ht="30" customHeight="1" thickBot="1">
      <c r="B2" s="4"/>
      <c r="C2" s="4"/>
      <c r="D2" s="5"/>
      <c r="E2" s="19" t="s">
        <v>108</v>
      </c>
      <c r="F2" s="6"/>
      <c r="G2" s="4"/>
      <c r="H2" s="4"/>
      <c r="J2" s="18"/>
      <c r="K2" s="4"/>
      <c r="L2" s="4"/>
      <c r="M2" s="22" t="s">
        <v>86</v>
      </c>
      <c r="N2" s="22"/>
      <c r="O2" s="7">
        <f>SUM(G5:G21)+SUM(L5:L21)+SUM(Q5:Q21)+SUM(V5:V21)</f>
        <v>0</v>
      </c>
      <c r="P2" s="8"/>
      <c r="Q2" s="4"/>
      <c r="R2" s="22" t="s">
        <v>52</v>
      </c>
      <c r="S2" s="22"/>
      <c r="T2" s="7">
        <f>Z2</f>
        <v>0</v>
      </c>
      <c r="U2" s="1"/>
      <c r="V2" s="1"/>
      <c r="Z2" s="1">
        <f>'01-20'!O2+'21-40'!O2+'41-60'!O2+'61-80'!O2+O2</f>
        <v>0</v>
      </c>
      <c r="AA2" s="9"/>
      <c r="AB2" s="10" t="s">
        <v>50</v>
      </c>
    </row>
    <row r="3" ht="9.75" customHeight="1">
      <c r="E3" s="21" t="s">
        <v>107</v>
      </c>
    </row>
    <row r="4" spans="2:18" ht="24.75" customHeight="1" thickBot="1">
      <c r="B4" s="11" t="s">
        <v>87</v>
      </c>
      <c r="H4" s="12" t="s">
        <v>88</v>
      </c>
      <c r="M4" s="12" t="s">
        <v>89</v>
      </c>
      <c r="R4" s="12" t="s">
        <v>90</v>
      </c>
    </row>
    <row r="5" spans="5:22" ht="19.5" customHeight="1" thickBot="1">
      <c r="E5" s="20"/>
      <c r="F5" s="13">
        <f>IF(E5="","",(IF(E5="Vörösmarty Mihály",$AB$2,$AA$2)))</f>
      </c>
      <c r="G5" s="14">
        <f>IF(E5="Vörösmarty Mihály",1,0)</f>
        <v>0</v>
      </c>
      <c r="J5" s="20"/>
      <c r="K5" s="13">
        <f>IF(J5="","",(IF(J5="Juhász Gyula",$AB$2,$AA$2)))</f>
      </c>
      <c r="L5" s="14">
        <f>IF(J5="Juhász Gyula",1,0)</f>
        <v>0</v>
      </c>
      <c r="O5" s="20"/>
      <c r="P5" s="13">
        <f>IF(O5="","",(IF(O5="Básti Lajos",$AB$2,$AA$2)))</f>
      </c>
      <c r="Q5" s="14">
        <f>IF(O5="Básti Lajos",1,0)</f>
        <v>0</v>
      </c>
      <c r="T5" s="20"/>
      <c r="U5" s="13">
        <f>IF(T5="","",(IF(T5="Örkény István",$AB$2,$AA$2)))</f>
      </c>
      <c r="V5" s="14">
        <f>IF(T5="Örkény István",1,0)</f>
        <v>0</v>
      </c>
    </row>
    <row r="6" ht="24.75" customHeight="1">
      <c r="F6" s="15"/>
    </row>
    <row r="7" ht="9.75" customHeight="1"/>
    <row r="8" spans="2:18" ht="24.75" customHeight="1" thickBot="1">
      <c r="B8" s="11" t="s">
        <v>91</v>
      </c>
      <c r="H8" s="12" t="s">
        <v>92</v>
      </c>
      <c r="M8" s="12" t="s">
        <v>93</v>
      </c>
      <c r="R8" s="12" t="s">
        <v>94</v>
      </c>
    </row>
    <row r="9" spans="5:22" ht="19.5" customHeight="1" thickBot="1">
      <c r="E9" s="20"/>
      <c r="F9" s="13">
        <f>IF(E9="","",(IF(E9="Baross Gábor",$AB$2,$AA$2)))</f>
      </c>
      <c r="G9" s="14">
        <f>IF(E9="Baross Gábor",1,0)</f>
        <v>0</v>
      </c>
      <c r="J9" s="20"/>
      <c r="K9" s="13">
        <f>IF(J9="","",(IF(J9="Karinthy Frigyes",$AB$2,$AA$2)))</f>
      </c>
      <c r="L9" s="14">
        <f>IF(J9="Karinthy Frigyes",1,0)</f>
        <v>0</v>
      </c>
      <c r="O9" s="20"/>
      <c r="P9" s="13">
        <f>IF(O9="","",(IF(O9="Teleki Pál",$AB$2,$AA$2)))</f>
      </c>
      <c r="Q9" s="14">
        <f>IF(O9="Teleki Pál",1,0)</f>
        <v>0</v>
      </c>
      <c r="T9" s="20"/>
      <c r="U9" s="13">
        <f>IF(T9="","",(IF(T9="Antall József",$AB$2,$AA$2)))</f>
      </c>
      <c r="V9" s="14">
        <f>IF(T9="Antall József",1,0)</f>
        <v>0</v>
      </c>
    </row>
    <row r="10" ht="24.75" customHeight="1">
      <c r="F10" s="15"/>
    </row>
    <row r="11" ht="9.75" customHeight="1"/>
    <row r="12" spans="2:18" ht="24.75" customHeight="1" thickBot="1">
      <c r="B12" s="11" t="s">
        <v>95</v>
      </c>
      <c r="H12" s="12" t="s">
        <v>96</v>
      </c>
      <c r="M12" s="12" t="s">
        <v>97</v>
      </c>
      <c r="R12" s="12" t="s">
        <v>98</v>
      </c>
    </row>
    <row r="13" spans="5:22" ht="19.5" customHeight="1" thickBot="1">
      <c r="E13" s="20"/>
      <c r="F13" s="13">
        <f>IF(E13="","",(IF(E13="Radnóti Miklós",$AB$2,$AA$2)))</f>
      </c>
      <c r="G13" s="14">
        <f>IF(E13="Radnóti Miklós",1,0)</f>
        <v>0</v>
      </c>
      <c r="J13" s="20"/>
      <c r="K13" s="13">
        <f>IF(J13="","",(IF(J13="Feleki Kamill",$AB$2,$AA$2)))</f>
      </c>
      <c r="L13" s="14">
        <f>IF(J13="Feleki Kamill",1,0)</f>
        <v>0</v>
      </c>
      <c r="O13" s="20"/>
      <c r="P13" s="13">
        <f>IF(O13="","",(IF(O13="Benedek Elek",$AB$2,$AA$2)))</f>
      </c>
      <c r="Q13" s="14">
        <f>IF(O13="Benedek Elek",1,0)</f>
        <v>0</v>
      </c>
      <c r="T13" s="20"/>
      <c r="U13" s="13">
        <f>IF(T13="","",(IF(T13="Kassák Lajos",$AB$2,$AA$2)))</f>
      </c>
      <c r="V13" s="14">
        <f>IF(T13="Kassák Lajos",1,0)</f>
        <v>0</v>
      </c>
    </row>
    <row r="14" ht="24.75" customHeight="1">
      <c r="F14" s="15"/>
    </row>
    <row r="15" ht="9.75" customHeight="1"/>
    <row r="16" spans="2:18" ht="24.75" customHeight="1" thickBot="1">
      <c r="B16" s="11" t="s">
        <v>99</v>
      </c>
      <c r="H16" s="12" t="s">
        <v>100</v>
      </c>
      <c r="M16" s="12" t="s">
        <v>101</v>
      </c>
      <c r="R16" s="12" t="s">
        <v>102</v>
      </c>
    </row>
    <row r="17" spans="5:22" ht="19.5" customHeight="1" thickBot="1">
      <c r="E17" s="20"/>
      <c r="F17" s="13">
        <f>IF(E17="","",(IF(E17="Batthyány Lajos",$AB$2,$AA$2)))</f>
      </c>
      <c r="G17" s="14">
        <f>IF(E17="Batthyány Lajos",1,0)</f>
        <v>0</v>
      </c>
      <c r="J17" s="20"/>
      <c r="K17" s="13">
        <f>IF(J17="","",(IF(J17="Móricz Zsigmond",$AB$2,$AA$2)))</f>
      </c>
      <c r="L17" s="14">
        <f>IF(J17="Móricz Zsigmond",1,0)</f>
        <v>0</v>
      </c>
      <c r="O17" s="20"/>
      <c r="P17" s="13">
        <f>IF(O17="","",(IF(O17="Bibó István",$AB$2,$AA$2)))</f>
      </c>
      <c r="Q17" s="14">
        <f>IF(O17="Bibó István",1,0)</f>
        <v>0</v>
      </c>
      <c r="T17" s="20"/>
      <c r="U17" s="13">
        <f>IF(T17="","",(IF(T17="Fedák Sári",$AB$2,$AA$2)))</f>
      </c>
      <c r="V17" s="14">
        <f>IF(T17="Fedák Sári",1,0)</f>
        <v>0</v>
      </c>
    </row>
    <row r="18" ht="24.75" customHeight="1">
      <c r="F18" s="15"/>
    </row>
    <row r="19" ht="9.75" customHeight="1"/>
    <row r="20" spans="2:18" ht="24.75" customHeight="1" thickBot="1">
      <c r="B20" s="11" t="s">
        <v>103</v>
      </c>
      <c r="H20" s="12" t="s">
        <v>104</v>
      </c>
      <c r="M20" s="12" t="s">
        <v>105</v>
      </c>
      <c r="R20" s="12" t="s">
        <v>106</v>
      </c>
    </row>
    <row r="21" spans="5:22" ht="19.5" customHeight="1" thickBot="1">
      <c r="E21" s="20"/>
      <c r="F21" s="13">
        <f>IF(E21="","",(IF(E21="Erkel Ferenc",$AB$2,$AA$2)))</f>
      </c>
      <c r="G21" s="14">
        <f>IF(E21="Erkel Ferenc",1,0)</f>
        <v>0</v>
      </c>
      <c r="J21" s="20"/>
      <c r="K21" s="13">
        <f>IF(J21="","",(IF(J21="Balázs Béla",$AB$2,$AA$2)))</f>
      </c>
      <c r="L21" s="14">
        <f>IF(J21="Balázs Béla",1,0)</f>
        <v>0</v>
      </c>
      <c r="O21" s="20"/>
      <c r="P21" s="13">
        <f>IF(O21="","",(IF(O21="Nagy Imre",$AB$2,$AA$2)))</f>
      </c>
      <c r="Q21" s="14">
        <f>IF(O21="Nagy Imre",1,0)</f>
        <v>0</v>
      </c>
      <c r="T21" s="20"/>
      <c r="U21" s="13">
        <f>IF(T21="","",(IF(T21="Hofi Géza",$AB$2,$AA$2)))</f>
      </c>
      <c r="V21" s="14">
        <f>IF(T21="Hofi Géza",1,0)</f>
        <v>0</v>
      </c>
    </row>
    <row r="22" ht="24.75" customHeight="1">
      <c r="F22" s="15"/>
    </row>
    <row r="23" ht="24.75" customHeight="1">
      <c r="B23" s="16"/>
    </row>
  </sheetData>
  <sheetProtection password="CA73" sheet="1" objects="1" scenarios="1"/>
  <mergeCells count="2">
    <mergeCell ref="M2:N2"/>
    <mergeCell ref="R2:S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Jenei Zsolt</dc:creator>
  <cp:keywords/>
  <dc:description/>
  <cp:lastModifiedBy>n537306</cp:lastModifiedBy>
  <dcterms:created xsi:type="dcterms:W3CDTF">2002-11-18T19:18:20Z</dcterms:created>
  <dcterms:modified xsi:type="dcterms:W3CDTF">2007-01-17T15:00:20Z</dcterms:modified>
  <cp:category/>
  <cp:version/>
  <cp:contentType/>
  <cp:contentStatus/>
</cp:coreProperties>
</file>